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15" yWindow="0" windowWidth="14355" windowHeight="144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'Sheet1'!$A$1:$Q$419</definedName>
  </definedNames>
  <calcPr fullCalcOnLoad="1"/>
</workbook>
</file>

<file path=xl/sharedStrings.xml><?xml version="1.0" encoding="utf-8"?>
<sst xmlns="http://schemas.openxmlformats.org/spreadsheetml/2006/main" count="479" uniqueCount="282">
  <si>
    <t xml:space="preserve">     Total</t>
  </si>
  <si>
    <t xml:space="preserve">     - Contract seismic</t>
  </si>
  <si>
    <t xml:space="preserve">     - Other</t>
  </si>
  <si>
    <t>(b)</t>
  </si>
  <si>
    <t>(a)</t>
  </si>
  <si>
    <t>(In thousands of dollars)</t>
  </si>
  <si>
    <t>December 31,</t>
  </si>
  <si>
    <t xml:space="preserve"> </t>
  </si>
  <si>
    <t>Quarter ended</t>
  </si>
  <si>
    <t xml:space="preserve">Gross depreciation </t>
  </si>
  <si>
    <t>Additional</t>
  </si>
  <si>
    <t>Shareholders'</t>
  </si>
  <si>
    <t>capital</t>
  </si>
  <si>
    <t>equity</t>
  </si>
  <si>
    <t>(c)</t>
  </si>
  <si>
    <t>Adjusted EBITDA</t>
  </si>
  <si>
    <t>Depreciation and amortization consists of the following for the periods presented:</t>
  </si>
  <si>
    <t>Interest expense consists of the following for the periods presented:</t>
  </si>
  <si>
    <t>Interest expense, gross</t>
  </si>
  <si>
    <t>Accumulated</t>
  </si>
  <si>
    <t>(deficit)</t>
  </si>
  <si>
    <t>paid-in</t>
  </si>
  <si>
    <t>Cash and cash equivalents</t>
  </si>
  <si>
    <t>Reconciliation of net interest bearing debt:</t>
  </si>
  <si>
    <t>Short-term debt and current portion of long-term debt</t>
  </si>
  <si>
    <t>Capital lease obligations (current and long-term)</t>
  </si>
  <si>
    <t>Restricted cash (current and long-term)</t>
  </si>
  <si>
    <t>Completed during 2005</t>
  </si>
  <si>
    <t xml:space="preserve">     Completed surveys</t>
  </si>
  <si>
    <t>Completed during 2006</t>
  </si>
  <si>
    <t>Surveys in progress</t>
  </si>
  <si>
    <t xml:space="preserve">Other  </t>
  </si>
  <si>
    <t>Capitalized interest, construction in progress</t>
  </si>
  <si>
    <t>Marine:</t>
  </si>
  <si>
    <t>Marine</t>
  </si>
  <si>
    <t>earnings</t>
  </si>
  <si>
    <t>Capitalized interest, multi-client library</t>
  </si>
  <si>
    <t>Year ended</t>
  </si>
  <si>
    <t>Completed during 2007</t>
  </si>
  <si>
    <t>shares</t>
  </si>
  <si>
    <t>Cumulative</t>
  </si>
  <si>
    <t>translation</t>
  </si>
  <si>
    <t>other reserves</t>
  </si>
  <si>
    <t>adjustm. and</t>
  </si>
  <si>
    <t>Minority</t>
  </si>
  <si>
    <t>Employee share options</t>
  </si>
  <si>
    <t>Common</t>
  </si>
  <si>
    <t>stock</t>
  </si>
  <si>
    <t>par value</t>
  </si>
  <si>
    <t>Capitalized depreciation (non-cash)</t>
  </si>
  <si>
    <t>Capitalized depreciation (non-cash) (d)</t>
  </si>
  <si>
    <t>(d)</t>
  </si>
  <si>
    <t>See Depreciation and amortization above.</t>
  </si>
  <si>
    <t>Capital expenditures (cash) were as follows for the periods presented:</t>
  </si>
  <si>
    <t xml:space="preserve">Long-term debt </t>
  </si>
  <si>
    <t>Adjust for deferred loan costs (offset in long-term debt)</t>
  </si>
  <si>
    <t>Marine revenues by service type:</t>
  </si>
  <si>
    <t>Other:</t>
  </si>
  <si>
    <t xml:space="preserve">Resarch and development costs, net of capitalized portion were as follows for the periods presented: </t>
  </si>
  <si>
    <t>Research and development costs, gross</t>
  </si>
  <si>
    <t>Capitalized development costs</t>
  </si>
  <si>
    <t>Completed during 2008</t>
  </si>
  <si>
    <t>Other</t>
  </si>
  <si>
    <t>Dividends to minority interests</t>
  </si>
  <si>
    <t>interests</t>
  </si>
  <si>
    <t>Other operating income</t>
  </si>
  <si>
    <t>Note 1 - General</t>
  </si>
  <si>
    <t xml:space="preserve">The Company is a Norwegian limited liability company and has prepared its consolidated financial statements in accordance with International Financial Reporting </t>
  </si>
  <si>
    <t>Standards ("IFRS") as adopted by the EU. The consolidated interim financial statements have been prepared in accordance with International Accounting Standards</t>
  </si>
  <si>
    <r>
      <t>("IAS") No. 34 "</t>
    </r>
    <r>
      <rPr>
        <i/>
        <sz val="10"/>
        <rFont val="Times New Roman"/>
        <family val="1"/>
      </rPr>
      <t xml:space="preserve">Interim Financial Reporting". </t>
    </r>
  </si>
  <si>
    <t>Note 2 - Basis of presentation</t>
  </si>
  <si>
    <t>Note 4 - Segment information</t>
  </si>
  <si>
    <t>Revenues by operating segment and service type for the periods presented:</t>
  </si>
  <si>
    <t xml:space="preserve">December 31, </t>
  </si>
  <si>
    <t xml:space="preserve">     - MultiClient pre-funding</t>
  </si>
  <si>
    <t xml:space="preserve">     - MultiClient late sales</t>
  </si>
  <si>
    <t xml:space="preserve">     - Data Processing</t>
  </si>
  <si>
    <t xml:space="preserve">     Marine revenues</t>
  </si>
  <si>
    <t>Other revenues by service type:</t>
  </si>
  <si>
    <t xml:space="preserve">     Other revenues</t>
  </si>
  <si>
    <t>Elimination of inter-segment revenues:</t>
  </si>
  <si>
    <t xml:space="preserve">     Elimination of inter-segment revenues</t>
  </si>
  <si>
    <t>Total revenues by service type:</t>
  </si>
  <si>
    <t>Operating profit (loss)/EBIT by operating segment for the periods presented:</t>
  </si>
  <si>
    <t>Impairments of long-lived assets</t>
  </si>
  <si>
    <t>Depreciation and amortization (a)</t>
  </si>
  <si>
    <t>Amortization of MultiClient library (a)</t>
  </si>
  <si>
    <t xml:space="preserve">     Operating profit/EBIT, Marine</t>
  </si>
  <si>
    <t xml:space="preserve">    Operating profit (loss)/EBIT, Other</t>
  </si>
  <si>
    <t>Inter-segment eliminations:</t>
  </si>
  <si>
    <t>Total Operating profit:</t>
  </si>
  <si>
    <t>Presented separately in the Consolidated Statements of Operations.</t>
  </si>
  <si>
    <t>Gain on repurchase of convertible notes</t>
  </si>
  <si>
    <t>The net book-value of the MultiClient library by year of completion is as follows:</t>
  </si>
  <si>
    <t>Completed during 2004 and prior years</t>
  </si>
  <si>
    <t>Completed during 2009</t>
  </si>
  <si>
    <t xml:space="preserve">     MultiClient library, net</t>
  </si>
  <si>
    <t>Key figures MultiClient library by segment for the periods presented:</t>
  </si>
  <si>
    <t>MultiClient pre-funding  (a)</t>
  </si>
  <si>
    <t>MultiClient late sales  (a)</t>
  </si>
  <si>
    <t>Cash investment in MultiClient library</t>
  </si>
  <si>
    <t xml:space="preserve">Capitalized interest in MultiClient library </t>
  </si>
  <si>
    <t>Amortization of MultiClient library</t>
  </si>
  <si>
    <t xml:space="preserve">Cash investment in MultiClient library </t>
  </si>
  <si>
    <t xml:space="preserve">Other/Elimination: </t>
  </si>
  <si>
    <t xml:space="preserve">Capitalized depreciation </t>
  </si>
  <si>
    <t>Total MultiClient library, key figures:</t>
  </si>
  <si>
    <t>Cash investment in MultiClient library  (b)</t>
  </si>
  <si>
    <t>Capitalized interest in MultiClient library  (c)</t>
  </si>
  <si>
    <t>Amortization of MultiClient library (d)</t>
  </si>
  <si>
    <t>See Consolidated statements of cash flows.</t>
  </si>
  <si>
    <t>See Interest expense above.</t>
  </si>
  <si>
    <t>Total comprehensive income</t>
  </si>
  <si>
    <t xml:space="preserve">Transferred shares, deferred consideration </t>
  </si>
  <si>
    <t>Repurchase convertible notes</t>
  </si>
  <si>
    <t>Balance at December 31, 2008</t>
  </si>
  <si>
    <t>Reconciliation Q1 2009:</t>
  </si>
  <si>
    <t>Balance at March 31, 2009</t>
  </si>
  <si>
    <t>Balance at June 30, 2009</t>
  </si>
  <si>
    <t>Reconciliation Q2 2009:</t>
  </si>
  <si>
    <t>Note 5 - Research and development costs</t>
  </si>
  <si>
    <t>Note 6 - Depreciation and amortization</t>
  </si>
  <si>
    <t>Note 8 - Interest expense</t>
  </si>
  <si>
    <t>Note 7 - Impairments of long-lived assets</t>
  </si>
  <si>
    <t>Impairments of long-lived assets consists of the following for the periods presented:</t>
  </si>
  <si>
    <t>Property and equipment</t>
  </si>
  <si>
    <t>Other intangible assets</t>
  </si>
  <si>
    <t>Oil and gas assets (other long-lived assets)</t>
  </si>
  <si>
    <t>A reconciliation of reclassification adjustments included in the Consolidated Statements of Operations ("CSO") for all periods presented follows:</t>
  </si>
  <si>
    <t>Cash flow hedges:</t>
  </si>
  <si>
    <t>Gains (losses) arising during the period</t>
  </si>
  <si>
    <t>Cash flow hedges, net</t>
  </si>
  <si>
    <t>Impairment of shares available-for-sale</t>
  </si>
  <si>
    <t>Note 11 - MultiClient library</t>
  </si>
  <si>
    <t>Note 13 - Components of other comprehensive income</t>
  </si>
  <si>
    <t>Note 14 - Shareholders' equity</t>
  </si>
  <si>
    <t>Note 9 - Other financial income</t>
  </si>
  <si>
    <t>Gain from sale of shares</t>
  </si>
  <si>
    <t>Other financial income consists of the following for the periods presented:</t>
  </si>
  <si>
    <t>Interest income</t>
  </si>
  <si>
    <t>Treasury</t>
  </si>
  <si>
    <t>Other financial expense consists of the following for the periods presented:</t>
  </si>
  <si>
    <t>Note 10 - Other financial expense</t>
  </si>
  <si>
    <t>Transaction costs amounting to $3.4 milion are recognized against "Additional paid-in capital" net of related income tax benefits of $0.9 million.</t>
  </si>
  <si>
    <t>Transaction costs amounting to $0.7 million are recognized against "Accumulated earnings (deficit)".</t>
  </si>
  <si>
    <t xml:space="preserve">Petroleum Geo-Services ASA  </t>
  </si>
  <si>
    <t>Revaluation of shares available-for-sale:</t>
  </si>
  <si>
    <t>Revaluation of shares available-for-sale, net</t>
  </si>
  <si>
    <t>Note 15 - Net interest bearing debt</t>
  </si>
  <si>
    <t>Note 12 - Capital expenditures (cash)</t>
  </si>
  <si>
    <t>Earnings per share, to ordinary equity holders of PGS ASA, were calculated as follows:</t>
  </si>
  <si>
    <t>Net income from continuing operations</t>
  </si>
  <si>
    <t>Net income from discontinued operations</t>
  </si>
  <si>
    <t>Minority interest</t>
  </si>
  <si>
    <t>Net income to equity holders of PGS ASA</t>
  </si>
  <si>
    <t>Effect of interest on convertible notes, net of tax</t>
  </si>
  <si>
    <t>Net income for the purpose of diluted earnings per share</t>
  </si>
  <si>
    <t>- Basic</t>
  </si>
  <si>
    <t>Earnings per share from continuing operations,</t>
  </si>
  <si>
    <t xml:space="preserve"> Weighted average basic shares outstanding</t>
  </si>
  <si>
    <t xml:space="preserve"> Weighted average diluted shares outstanding</t>
  </si>
  <si>
    <t>Earnings per share:</t>
  </si>
  <si>
    <t>Reconciliation Q3 2009:</t>
  </si>
  <si>
    <t>Balance at September 30, 2009</t>
  </si>
  <si>
    <t xml:space="preserve"> Dilutive potential shares (1)</t>
  </si>
  <si>
    <t>- Diluted</t>
  </si>
  <si>
    <t xml:space="preserve">- Diluted </t>
  </si>
  <si>
    <t>Note 16 - Earnings per share</t>
  </si>
  <si>
    <t>Reconciliation Q4 2009:</t>
  </si>
  <si>
    <t>Balance at December 31, 2009</t>
  </si>
  <si>
    <t>Total revenues (continuing operation)</t>
  </si>
  <si>
    <t>Income from discontinued operations, net of tax consist of the following for the periods presented:</t>
  </si>
  <si>
    <t>Income tax (expense) benefit</t>
  </si>
  <si>
    <t>Revenues</t>
  </si>
  <si>
    <t>Depreciation and amortization</t>
  </si>
  <si>
    <t>Operating profit</t>
  </si>
  <si>
    <t>Total operating expenses</t>
  </si>
  <si>
    <t>Operating costs (a)</t>
  </si>
  <si>
    <t>(a) Operating costs include cost of sales, research and development costs, and selling, general and adminstrative costs.</t>
  </si>
  <si>
    <t>Key figures Multiclient library continuing operation:</t>
  </si>
  <si>
    <t>Financial items, net</t>
  </si>
  <si>
    <t>The consolidated interim financial statements reflects all adjustments, in the opinion of PGSs management, that are necessary for a fair presentation of the results of operations for all</t>
  </si>
  <si>
    <t>periods presented. Operating results for the quarter period is not necessary indicative of the results that may be expected for any subsequent interim period or year. The interim</t>
  </si>
  <si>
    <t>The accounting policies adopted in the preparation of the interim consolidated financial statements are consistent with those followed in the preparation of the Company’s</t>
  </si>
  <si>
    <t>surveys are categorized into four amortization categories with amortization rates of 90%, 75%, 60% or 45% of sales amounts. Each category includes surveys where the remaining</t>
  </si>
  <si>
    <t>unamortized cost as a percentage of remaining forecasted sales is less than or equal to the amortization rate applicable to each category.</t>
  </si>
  <si>
    <t>The Company also applies minimum amortization criteria for the library projects based generally on a five-year life. The Company calculates and records minimum amortization</t>
  </si>
  <si>
    <t>Total current liabilities Onshore</t>
  </si>
  <si>
    <t xml:space="preserve">Polar Pearl </t>
  </si>
  <si>
    <t>Total current assets Onshore</t>
  </si>
  <si>
    <t xml:space="preserve">     Total liabilities held-for-sale</t>
  </si>
  <si>
    <t xml:space="preserve">     Total asset held-for-sale</t>
  </si>
  <si>
    <t>Total long-term assets Onshore (a)</t>
  </si>
  <si>
    <t>Revenues by continued operations:</t>
  </si>
  <si>
    <t>The results of operations for the Onshore segment are summarized as follows:</t>
  </si>
  <si>
    <t>individual MultiClient surveys. The Company classifies these impairment charges as amortization expense in its consolidated statement of operations since this additional, non-sales</t>
  </si>
  <si>
    <t>See segment information, Note 4.</t>
  </si>
  <si>
    <t xml:space="preserve">related amortization expense, is expected to occur regularly. </t>
  </si>
  <si>
    <t>Operating profit (loss)/ EBIT from continuing operations:</t>
  </si>
  <si>
    <t xml:space="preserve">    Total Operating profit (loss)/EBIT</t>
  </si>
  <si>
    <t>Depreciation capitalized to MultiClient library</t>
  </si>
  <si>
    <t>The Company amortizes its MultiClient library primarily based on the ratio between the cost of surveys and the total forecasted sales for such surveys. In applying this method,</t>
  </si>
  <si>
    <t>individually for each MultiClient survey or pool of surveys at quarterly basis. At year-end, or when specific impairment indicators exists, the Company carry out an impairment test of</t>
  </si>
  <si>
    <t xml:space="preserve">   Total</t>
  </si>
  <si>
    <t>Note 17 - Income from discontinued operations, net of tax and assets/ liabilities held-for-sale</t>
  </si>
  <si>
    <t>Transaction costs sale of Onshore</t>
  </si>
  <si>
    <t>Asset/ liabilities held-for-sale</t>
  </si>
  <si>
    <t>Liabilities held-for-sale</t>
  </si>
  <si>
    <t>Assets held-for-sale</t>
  </si>
  <si>
    <t>Note 18 - Consolidated statements of operations by quarter 2009, Onshore presented as discontinued operation.</t>
  </si>
  <si>
    <t xml:space="preserve">Revenues </t>
  </si>
  <si>
    <t xml:space="preserve">      </t>
  </si>
  <si>
    <t xml:space="preserve">Cost of sales </t>
  </si>
  <si>
    <t xml:space="preserve">Research and development costs </t>
  </si>
  <si>
    <t xml:space="preserve">Selling, general and administrative costs </t>
  </si>
  <si>
    <t xml:space="preserve">Depreciation and amortization </t>
  </si>
  <si>
    <t>Impairment of long-lived assets</t>
  </si>
  <si>
    <t>Operating profit (loss)/EBIT</t>
  </si>
  <si>
    <t>Income/(loss) from associated companies</t>
  </si>
  <si>
    <t>Interest expense</t>
  </si>
  <si>
    <t>Other financial income</t>
  </si>
  <si>
    <t>Other financial expense</t>
  </si>
  <si>
    <t>Currency exchange gain (loss)</t>
  </si>
  <si>
    <t>Income before income tax expense (benefit)</t>
  </si>
  <si>
    <t>Income tax expense (benfit)</t>
  </si>
  <si>
    <t>Income from continuing operations</t>
  </si>
  <si>
    <t>Income (loss) from discontinued operations, net of tax</t>
  </si>
  <si>
    <t xml:space="preserve">Net income </t>
  </si>
  <si>
    <t xml:space="preserve">Net income attributable to minority interests </t>
  </si>
  <si>
    <t>Q1</t>
  </si>
  <si>
    <t>Q2</t>
  </si>
  <si>
    <t>Q3</t>
  </si>
  <si>
    <t>Q4</t>
  </si>
  <si>
    <t>Consolidated statements of operations by quarter 2009, Onshore presented as discontinued operation:</t>
  </si>
  <si>
    <t>(2)  Adjusted EBITDA, when used by the Company, means income before income tax expense (benefit) less, currency exchange gain (loss), other financial expense, other financial</t>
  </si>
  <si>
    <t>comparable to other similar titled measures from other companies. PGS has included Adjusted EBITDA as a supplemental disclosure because management believes that it provides</t>
  </si>
  <si>
    <t>useful information regarding PGS' ability to service debt and to fund capital expenditures and provides investors with a helpful measure for comparing its operating performance with</t>
  </si>
  <si>
    <t xml:space="preserve">that of other companies. </t>
  </si>
  <si>
    <t>Gain on investment in shares available for sale</t>
  </si>
  <si>
    <t>results for Onshore are included in discontinued operations in the consolidated statements of operations and was classified as asset held-for-sale in the consolidated statement of</t>
  </si>
  <si>
    <t xml:space="preserve">financial positions as of December 31, 2009 (see Note 17 and 18). The Notes are restated for all periods presented. </t>
  </si>
  <si>
    <t xml:space="preserve">consolidated financial statements should be read in conjunction with the audited consolidated  financial statements for the year ended December 31, 2009. </t>
  </si>
  <si>
    <t xml:space="preserve">Company's significant accounting policies. </t>
  </si>
  <si>
    <t xml:space="preserve">Note 3 - New policies and standards adopted in 2010  </t>
  </si>
  <si>
    <t>presented as held for sale.</t>
  </si>
  <si>
    <t>Balance at March 31, 2010</t>
  </si>
  <si>
    <t>Reconciliation Q1 2010:</t>
  </si>
  <si>
    <t>(a) Includes $60.5 million in MultiClient library and allocated goodwill of $35.0 million as of December 31, 2009.</t>
  </si>
  <si>
    <t>Gain on sale of Onshore</t>
  </si>
  <si>
    <t>consolidated financial statements for the year ended December 31, 2009. See Note 2 to the Consolidated Financial Statements in the 2009 Annual Report for information of the</t>
  </si>
  <si>
    <t>(1)  Certain reclassifications have been made to prior period amounts to conform to the current presentation, including restatement of Onshore to discontinued operations (see above).</t>
  </si>
  <si>
    <t xml:space="preserve">Financial information for the full year 2009 is derived from the audited financial statements as presented in the 2009 Annual Report. </t>
  </si>
  <si>
    <t>Completed during 2010</t>
  </si>
  <si>
    <t xml:space="preserve">Additional proceeds </t>
  </si>
  <si>
    <t>Less: Reclassification adjustments for losses included in the Consolidated Statement of Operations</t>
  </si>
  <si>
    <t>Less: Reclassification adjustments for (gains) included in the Consolidated Statement of Operations</t>
  </si>
  <si>
    <t>Instruction fee convertible note (includes costs)</t>
  </si>
  <si>
    <t>Share issue (17,999,999 shares) (a)</t>
  </si>
  <si>
    <t>Sale of treasury shares (b)</t>
  </si>
  <si>
    <t>Notes to the Interim Consolidated Financial Statements - Second Quarter 2010</t>
  </si>
  <si>
    <t>None of the new accounting standards that came into effect on January 1, 2010 had a significant impact in the first six months of 2010.</t>
  </si>
  <si>
    <t>Six months ended</t>
  </si>
  <si>
    <t xml:space="preserve">June 30, </t>
  </si>
  <si>
    <t>Reconciliation Q2 2010:</t>
  </si>
  <si>
    <t>June 30,</t>
  </si>
  <si>
    <t>Amendment fees USD 950 million Credit Facilities</t>
  </si>
  <si>
    <t>Exercise, employee share options</t>
  </si>
  <si>
    <t>(1) For all the periods 8.8 million shares related to convertible notes were excluded from the calculation of dilutive earnings per share as they were</t>
  </si>
  <si>
    <t>anti-dilutive.</t>
  </si>
  <si>
    <t>The Company has, up until the sale of Onshore (see above), operated its business in two segments; Marine and Onshore. The financial information to be reviewed by the chief operating</t>
  </si>
  <si>
    <t>decision maker based on the change in organization from May 1, 2010 has not yet been decided. PGS has therefore presented segment information as in previous quarters.</t>
  </si>
  <si>
    <t>"Other" includes Corporate administration costs, unallocated Global Shared Services costs (net) and PGS EM. Financial items and income tax expense are not included in the measure of</t>
  </si>
  <si>
    <t>segment performance. Onshore is presented as discontinued operation and is not included in the tables below.</t>
  </si>
  <si>
    <t>As of June 30, 2009 MultiClient library includes Onshore surveys for $61.6 million. As of December 31, 2009 such surveys are</t>
  </si>
  <si>
    <t>Fee in connection with redemption of 8.28% Notes</t>
  </si>
  <si>
    <t>Balance at June 30, 2010</t>
  </si>
  <si>
    <t>Acquired treasury shares</t>
  </si>
  <si>
    <t>Income  (loss) from discontinued operations, pretax</t>
  </si>
  <si>
    <t>Income (loss) from discontinued operations, pretax</t>
  </si>
  <si>
    <t>Atlantic Explorer</t>
  </si>
  <si>
    <t>In December 2009 the Company entered into an agreement to sell PGS Onshore business ("Onshore") to the US-based Geokinetics. The transaction was closed February 12, 2010. The</t>
  </si>
  <si>
    <t>income, interest expense,  income (loss) from associated companies, impairments of long-lived assets and depreciation and amortization. EBITDA may not be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</si>
</sst>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&quot;kr&quot;\ * #,##0.00_ ;_ &quot;kr&quot;\ * \-#,##0.00_ ;_ &quot;kr&quot;\ * &quot;-&quot;??_ ;_ @_ "/>
    <numFmt numFmtId="166" formatCode="_ * #,##0.00_ ;_ * \-#,##0.00_ ;_ * &quot;-&quot;??_ ;_ @_ "/>
    <numFmt numFmtId="167" formatCode="_-* #,##0.00_-;\-* #,##0.00_-;_-* &quot;-&quot;??_-;_-@_-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* #,##0_);_(* \(#,##0\);_(* &quot;-&quot;??_);_(@_)"/>
    <numFmt numFmtId="171" formatCode="_ * #,##0_ ;_ * \(#,##0\)_ ;_ * &quot;-&quot;_ ;_ @_ "/>
    <numFmt numFmtId="172" formatCode="_(&quot;$&quot;* #,##0_);_(&quot;$&quot;* \(#,##0\);_(&quot;$&quot;* &quot;-&quot;??_);_(@_)"/>
    <numFmt numFmtId="173" formatCode="_(* #,##0_);_*\ \(#,##0\);_(* &quot;-&quot;??_);_(@_)"/>
    <numFmt numFmtId="174" formatCode="_([$$-409]* #,##0_);_([$$-409]* \(#,##0\);_([$$-409]* &quot;-&quot;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4"/>
      <color indexed="12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10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168" fontId="9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68" fontId="9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center"/>
    </xf>
    <xf numFmtId="171" fontId="2" fillId="0" borderId="0" xfId="0" applyNumberFormat="1" applyFont="1" applyAlignment="1">
      <alignment/>
    </xf>
    <xf numFmtId="0" fontId="8" fillId="0" borderId="0" xfId="0" applyFont="1" applyFill="1" applyBorder="1" applyAlignment="1" quotePrefix="1">
      <alignment/>
    </xf>
    <xf numFmtId="0" fontId="2" fillId="0" borderId="11" xfId="0" applyFont="1" applyFill="1" applyBorder="1" applyAlignment="1">
      <alignment horizontal="left"/>
    </xf>
    <xf numFmtId="0" fontId="4" fillId="0" borderId="0" xfId="0" applyFont="1" applyAlignment="1">
      <alignment/>
    </xf>
    <xf numFmtId="171" fontId="2" fillId="0" borderId="0" xfId="0" applyNumberFormat="1" applyFont="1" applyFill="1" applyAlignment="1">
      <alignment/>
    </xf>
    <xf numFmtId="171" fontId="2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170" fontId="2" fillId="0" borderId="0" xfId="0" applyNumberFormat="1" applyFont="1" applyAlignment="1">
      <alignment/>
    </xf>
    <xf numFmtId="41" fontId="2" fillId="0" borderId="11" xfId="0" applyNumberFormat="1" applyFont="1" applyFill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3" borderId="10" xfId="0" applyNumberFormat="1" applyFont="1" applyFill="1" applyBorder="1" applyAlignment="1" quotePrefix="1">
      <alignment horizontal="center"/>
    </xf>
    <xf numFmtId="168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41" fontId="2" fillId="33" borderId="0" xfId="0" applyNumberFormat="1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171" fontId="2" fillId="33" borderId="0" xfId="0" applyNumberFormat="1" applyFont="1" applyFill="1" applyAlignment="1">
      <alignment/>
    </xf>
    <xf numFmtId="171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168" fontId="2" fillId="33" borderId="0" xfId="0" applyNumberFormat="1" applyFont="1" applyFill="1" applyAlignment="1">
      <alignment/>
    </xf>
    <xf numFmtId="41" fontId="2" fillId="33" borderId="0" xfId="0" applyNumberFormat="1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168" fontId="0" fillId="0" borderId="0" xfId="0" applyNumberFormat="1" applyAlignment="1">
      <alignment/>
    </xf>
    <xf numFmtId="164" fontId="2" fillId="0" borderId="0" xfId="0" applyNumberFormat="1" applyFont="1" applyFill="1" applyBorder="1" applyAlignment="1" quotePrefix="1">
      <alignment horizontal="center"/>
    </xf>
    <xf numFmtId="173" fontId="2" fillId="0" borderId="0" xfId="0" applyNumberFormat="1" applyFont="1" applyAlignment="1">
      <alignment/>
    </xf>
    <xf numFmtId="41" fontId="11" fillId="0" borderId="1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1" fontId="9" fillId="33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quotePrefix="1">
      <alignment horizontal="center"/>
    </xf>
    <xf numFmtId="0" fontId="11" fillId="0" borderId="0" xfId="0" applyFont="1" applyAlignment="1">
      <alignment/>
    </xf>
    <xf numFmtId="41" fontId="2" fillId="0" borderId="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168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8" fontId="11" fillId="0" borderId="0" xfId="0" applyNumberFormat="1" applyFont="1" applyFill="1" applyAlignment="1">
      <alignment/>
    </xf>
    <xf numFmtId="41" fontId="11" fillId="0" borderId="0" xfId="0" applyNumberFormat="1" applyFont="1" applyAlignment="1">
      <alignment/>
    </xf>
    <xf numFmtId="0" fontId="15" fillId="0" borderId="0" xfId="0" applyFont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72" fontId="9" fillId="0" borderId="0" xfId="0" applyNumberFormat="1" applyFont="1" applyFill="1" applyBorder="1" applyAlignment="1">
      <alignment/>
    </xf>
    <xf numFmtId="41" fontId="2" fillId="33" borderId="10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2" fontId="2" fillId="0" borderId="0" xfId="0" applyNumberFormat="1" applyFont="1" applyAlignment="1">
      <alignment/>
    </xf>
    <xf numFmtId="41" fontId="9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172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 quotePrefix="1">
      <alignment horizontal="center"/>
    </xf>
    <xf numFmtId="171" fontId="2" fillId="0" borderId="12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68" fontId="11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168" fontId="0" fillId="0" borderId="0" xfId="0" applyNumberForma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2" fontId="2" fillId="33" borderId="0" xfId="0" applyNumberFormat="1" applyFont="1" applyFill="1" applyAlignment="1">
      <alignment/>
    </xf>
    <xf numFmtId="42" fontId="2" fillId="0" borderId="0" xfId="0" applyNumberFormat="1" applyFont="1" applyFill="1" applyAlignment="1">
      <alignment/>
    </xf>
    <xf numFmtId="42" fontId="2" fillId="33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4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12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8" fontId="15" fillId="0" borderId="0" xfId="0" applyNumberFormat="1" applyFont="1" applyFill="1" applyAlignment="1">
      <alignment/>
    </xf>
    <xf numFmtId="168" fontId="11" fillId="0" borderId="0" xfId="0" applyNumberFormat="1" applyFont="1" applyFill="1" applyAlignment="1">
      <alignment/>
    </xf>
    <xf numFmtId="168" fontId="11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171" fontId="2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11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1" fontId="20" fillId="0" borderId="0" xfId="0" applyNumberFormat="1" applyFont="1" applyFill="1" applyAlignment="1">
      <alignment/>
    </xf>
    <xf numFmtId="44" fontId="2" fillId="0" borderId="0" xfId="44" applyNumberFormat="1" applyFont="1" applyFill="1" applyBorder="1" applyAlignment="1">
      <alignment/>
    </xf>
    <xf numFmtId="170" fontId="9" fillId="0" borderId="0" xfId="42" applyNumberFormat="1" applyFont="1" applyFill="1" applyBorder="1" applyAlignment="1">
      <alignment horizontal="left"/>
    </xf>
    <xf numFmtId="170" fontId="9" fillId="0" borderId="0" xfId="42" applyNumberFormat="1" applyFont="1" applyBorder="1" applyAlignment="1">
      <alignment horizontal="left"/>
    </xf>
    <xf numFmtId="170" fontId="9" fillId="0" borderId="0" xfId="42" applyNumberFormat="1" applyFont="1" applyFill="1" applyBorder="1" applyAlignment="1">
      <alignment horizontal="center"/>
    </xf>
    <xf numFmtId="172" fontId="9" fillId="0" borderId="0" xfId="44" applyNumberFormat="1" applyFont="1" applyFill="1" applyBorder="1" applyAlignment="1">
      <alignment/>
    </xf>
    <xf numFmtId="172" fontId="9" fillId="0" borderId="0" xfId="44" applyNumberFormat="1" applyFont="1" applyBorder="1" applyAlignment="1">
      <alignment/>
    </xf>
    <xf numFmtId="0" fontId="9" fillId="0" borderId="0" xfId="0" applyFont="1" applyAlignment="1">
      <alignment/>
    </xf>
    <xf numFmtId="170" fontId="2" fillId="0" borderId="0" xfId="42" applyNumberFormat="1" applyFont="1" applyFill="1" applyBorder="1" applyAlignment="1" quotePrefix="1">
      <alignment horizontal="left"/>
    </xf>
    <xf numFmtId="170" fontId="2" fillId="0" borderId="0" xfId="42" applyNumberFormat="1" applyFont="1" applyFill="1" applyBorder="1" applyAlignment="1">
      <alignment horizontal="left"/>
    </xf>
    <xf numFmtId="44" fontId="2" fillId="33" borderId="0" xfId="44" applyNumberFormat="1" applyFont="1" applyFill="1" applyBorder="1" applyAlignment="1">
      <alignment/>
    </xf>
    <xf numFmtId="167" fontId="2" fillId="0" borderId="0" xfId="42" applyNumberFormat="1" applyFont="1" applyBorder="1" applyAlignment="1">
      <alignment/>
    </xf>
    <xf numFmtId="169" fontId="2" fillId="0" borderId="0" xfId="42" applyNumberFormat="1" applyFont="1" applyBorder="1" applyAlignment="1">
      <alignment/>
    </xf>
    <xf numFmtId="169" fontId="2" fillId="0" borderId="0" xfId="42" applyNumberFormat="1" applyFont="1" applyFill="1" applyBorder="1" applyAlignment="1">
      <alignment/>
    </xf>
    <xf numFmtId="43" fontId="2" fillId="33" borderId="0" xfId="42" applyNumberFormat="1" applyFont="1" applyFill="1" applyBorder="1" applyAlignment="1">
      <alignment/>
    </xf>
    <xf numFmtId="43" fontId="2" fillId="0" borderId="0" xfId="42" applyNumberFormat="1" applyFont="1" applyBorder="1" applyAlignment="1">
      <alignment/>
    </xf>
    <xf numFmtId="43" fontId="2" fillId="0" borderId="0" xfId="42" applyNumberFormat="1" applyFont="1" applyFill="1" applyBorder="1" applyAlignment="1">
      <alignment/>
    </xf>
    <xf numFmtId="170" fontId="2" fillId="0" borderId="0" xfId="42" applyNumberFormat="1" applyFont="1" applyBorder="1" applyAlignment="1" quotePrefix="1">
      <alignment horizontal="left"/>
    </xf>
    <xf numFmtId="170" fontId="2" fillId="0" borderId="12" xfId="42" applyNumberFormat="1" applyFont="1" applyFill="1" applyBorder="1" applyAlignment="1" quotePrefix="1">
      <alignment horizontal="left"/>
    </xf>
    <xf numFmtId="44" fontId="2" fillId="33" borderId="12" xfId="44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174" fontId="15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68" fontId="20" fillId="0" borderId="0" xfId="0" applyNumberFormat="1" applyFont="1" applyFill="1" applyAlignment="1">
      <alignment/>
    </xf>
    <xf numFmtId="44" fontId="2" fillId="0" borderId="12" xfId="44" applyNumberFormat="1" applyFont="1" applyFill="1" applyBorder="1" applyAlignment="1">
      <alignment/>
    </xf>
    <xf numFmtId="41" fontId="11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1" fontId="22" fillId="0" borderId="0" xfId="0" applyNumberFormat="1" applyFont="1" applyFill="1" applyAlignment="1">
      <alignment/>
    </xf>
    <xf numFmtId="171" fontId="2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72" fontId="20" fillId="0" borderId="0" xfId="44" applyNumberFormat="1" applyFont="1" applyFill="1" applyBorder="1" applyAlignment="1">
      <alignment/>
    </xf>
    <xf numFmtId="0" fontId="15" fillId="0" borderId="0" xfId="0" applyFont="1" applyFill="1" applyAlignment="1">
      <alignment/>
    </xf>
    <xf numFmtId="171" fontId="11" fillId="0" borderId="0" xfId="0" applyNumberFormat="1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Alignment="1">
      <alignment/>
    </xf>
    <xf numFmtId="168" fontId="2" fillId="33" borderId="10" xfId="0" applyNumberFormat="1" applyFont="1" applyFill="1" applyBorder="1" applyAlignment="1">
      <alignment/>
    </xf>
    <xf numFmtId="41" fontId="20" fillId="0" borderId="0" xfId="0" applyNumberFormat="1" applyFont="1" applyFill="1" applyBorder="1" applyAlignment="1">
      <alignment/>
    </xf>
    <xf numFmtId="42" fontId="9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indent="1"/>
    </xf>
    <xf numFmtId="0" fontId="22" fillId="0" borderId="0" xfId="0" applyFont="1" applyAlignment="1">
      <alignment horizontal="left" readingOrder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72" fontId="0" fillId="0" borderId="0" xfId="0" applyNumberFormat="1" applyFont="1" applyAlignment="1">
      <alignment/>
    </xf>
    <xf numFmtId="0" fontId="11" fillId="0" borderId="0" xfId="0" applyFont="1" applyAlignment="1">
      <alignment horizontal="left" readingOrder="1"/>
    </xf>
    <xf numFmtId="0" fontId="2" fillId="0" borderId="0" xfId="0" applyFont="1" applyAlignment="1">
      <alignment horizontal="left" readingOrder="1"/>
    </xf>
    <xf numFmtId="173" fontId="2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2" fillId="0" borderId="0" xfId="0" applyFont="1" applyAlignment="1">
      <alignment horizontal="left" readingOrder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170" fontId="2" fillId="0" borderId="12" xfId="42" applyNumberFormat="1" applyFont="1" applyBorder="1" applyAlignment="1">
      <alignment horizontal="left"/>
    </xf>
    <xf numFmtId="170" fontId="2" fillId="0" borderId="0" xfId="42" applyNumberFormat="1" applyFont="1" applyBorder="1" applyAlignment="1">
      <alignment horizontal="left"/>
    </xf>
    <xf numFmtId="172" fontId="2" fillId="0" borderId="0" xfId="44" applyNumberFormat="1" applyFont="1" applyBorder="1" applyAlignment="1">
      <alignment/>
    </xf>
    <xf numFmtId="172" fontId="2" fillId="0" borderId="12" xfId="44" applyNumberFormat="1" applyFont="1" applyFill="1" applyBorder="1" applyAlignment="1">
      <alignment/>
    </xf>
    <xf numFmtId="172" fontId="2" fillId="0" borderId="0" xfId="44" applyNumberFormat="1" applyFont="1" applyFill="1" applyBorder="1" applyAlignment="1">
      <alignment/>
    </xf>
    <xf numFmtId="170" fontId="2" fillId="0" borderId="0" xfId="42" applyNumberFormat="1" applyFont="1" applyAlignment="1">
      <alignment horizontal="left"/>
    </xf>
    <xf numFmtId="170" fontId="2" fillId="0" borderId="0" xfId="42" applyNumberFormat="1" applyFont="1" applyBorder="1" applyAlignment="1">
      <alignment/>
    </xf>
    <xf numFmtId="170" fontId="2" fillId="0" borderId="0" xfId="42" applyNumberFormat="1" applyFont="1" applyAlignment="1">
      <alignment/>
    </xf>
    <xf numFmtId="170" fontId="2" fillId="0" borderId="0" xfId="42" applyNumberFormat="1" applyFont="1" applyFill="1" applyAlignment="1">
      <alignment/>
    </xf>
    <xf numFmtId="171" fontId="2" fillId="0" borderId="0" xfId="42" applyNumberFormat="1" applyFont="1" applyBorder="1" applyAlignment="1">
      <alignment/>
    </xf>
    <xf numFmtId="171" fontId="2" fillId="0" borderId="0" xfId="42" applyNumberFormat="1" applyFont="1" applyAlignment="1">
      <alignment/>
    </xf>
    <xf numFmtId="171" fontId="2" fillId="0" borderId="0" xfId="42" applyNumberFormat="1" applyFont="1" applyFill="1" applyAlignment="1">
      <alignment/>
    </xf>
    <xf numFmtId="171" fontId="0" fillId="0" borderId="0" xfId="0" applyNumberFormat="1" applyAlignment="1">
      <alignment/>
    </xf>
    <xf numFmtId="171" fontId="2" fillId="0" borderId="0" xfId="42" applyNumberFormat="1" applyFont="1" applyFill="1" applyBorder="1" applyAlignment="1">
      <alignment/>
    </xf>
    <xf numFmtId="171" fontId="2" fillId="0" borderId="12" xfId="42" applyNumberFormat="1" applyFont="1" applyFill="1" applyBorder="1" applyAlignment="1">
      <alignment/>
    </xf>
    <xf numFmtId="170" fontId="2" fillId="0" borderId="10" xfId="42" applyNumberFormat="1" applyFont="1" applyBorder="1" applyAlignment="1">
      <alignment horizontal="left"/>
    </xf>
    <xf numFmtId="171" fontId="2" fillId="0" borderId="10" xfId="42" applyNumberFormat="1" applyFont="1" applyFill="1" applyBorder="1" applyAlignment="1">
      <alignment/>
    </xf>
    <xf numFmtId="170" fontId="9" fillId="0" borderId="11" xfId="42" applyNumberFormat="1" applyFont="1" applyBorder="1" applyAlignment="1">
      <alignment horizontal="left"/>
    </xf>
    <xf numFmtId="172" fontId="9" fillId="0" borderId="11" xfId="44" applyNumberFormat="1" applyFont="1" applyBorder="1" applyAlignment="1">
      <alignment/>
    </xf>
    <xf numFmtId="172" fontId="9" fillId="0" borderId="11" xfId="44" applyNumberFormat="1" applyFont="1" applyFill="1" applyBorder="1" applyAlignment="1">
      <alignment/>
    </xf>
    <xf numFmtId="170" fontId="2" fillId="0" borderId="12" xfId="42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70" fontId="2" fillId="0" borderId="0" xfId="42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0" fontId="58" fillId="0" borderId="0" xfId="0" applyFont="1" applyAlignment="1">
      <alignment/>
    </xf>
    <xf numFmtId="168" fontId="58" fillId="0" borderId="0" xfId="0" applyNumberFormat="1" applyFont="1" applyAlignment="1">
      <alignment/>
    </xf>
    <xf numFmtId="164" fontId="2" fillId="0" borderId="13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quotePrefix="1">
      <alignment horizontal="center"/>
    </xf>
    <xf numFmtId="174" fontId="1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72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170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0" fillId="0" borderId="12" xfId="0" applyFont="1" applyFill="1" applyBorder="1" applyAlignment="1">
      <alignment/>
    </xf>
    <xf numFmtId="42" fontId="9" fillId="0" borderId="0" xfId="0" applyNumberFormat="1" applyFont="1" applyFill="1" applyAlignment="1">
      <alignment/>
    </xf>
    <xf numFmtId="170" fontId="11" fillId="0" borderId="0" xfId="0" applyNumberFormat="1" applyFont="1" applyFill="1" applyAlignment="1">
      <alignment/>
    </xf>
    <xf numFmtId="168" fontId="2" fillId="0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33" borderId="12" xfId="0" applyNumberFormat="1" applyFont="1" applyFill="1" applyBorder="1" applyAlignment="1" quotePrefix="1">
      <alignment horizontal="center"/>
    </xf>
    <xf numFmtId="0" fontId="2" fillId="0" borderId="12" xfId="0" applyNumberFormat="1" applyFont="1" applyFill="1" applyBorder="1" applyAlignment="1" quotePrefix="1">
      <alignment horizontal="center"/>
    </xf>
    <xf numFmtId="41" fontId="58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41" fontId="5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readingOrder="1"/>
    </xf>
    <xf numFmtId="41" fontId="3" fillId="0" borderId="0" xfId="0" applyNumberFormat="1" applyFont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71" fontId="58" fillId="0" borderId="0" xfId="0" applyNumberFormat="1" applyFont="1" applyFill="1" applyBorder="1" applyAlignment="1">
      <alignment/>
    </xf>
    <xf numFmtId="168" fontId="60" fillId="0" borderId="0" xfId="0" applyNumberFormat="1" applyFont="1" applyFill="1" applyBorder="1" applyAlignment="1">
      <alignment/>
    </xf>
    <xf numFmtId="41" fontId="58" fillId="0" borderId="0" xfId="0" applyNumberFormat="1" applyFont="1" applyFill="1" applyBorder="1" applyAlignment="1">
      <alignment/>
    </xf>
    <xf numFmtId="168" fontId="60" fillId="0" borderId="10" xfId="0" applyNumberFormat="1" applyFont="1" applyFill="1" applyBorder="1" applyAlignment="1">
      <alignment/>
    </xf>
    <xf numFmtId="168" fontId="60" fillId="0" borderId="0" xfId="0" applyNumberFormat="1" applyFont="1" applyFill="1" applyBorder="1" applyAlignment="1">
      <alignment/>
    </xf>
    <xf numFmtId="168" fontId="58" fillId="0" borderId="0" xfId="0" applyNumberFormat="1" applyFont="1" applyFill="1" applyAlignment="1">
      <alignment/>
    </xf>
    <xf numFmtId="174" fontId="58" fillId="0" borderId="0" xfId="0" applyNumberFormat="1" applyFont="1" applyFill="1" applyBorder="1" applyAlignment="1">
      <alignment/>
    </xf>
    <xf numFmtId="41" fontId="58" fillId="0" borderId="0" xfId="0" applyNumberFormat="1" applyFont="1" applyFill="1" applyAlignment="1">
      <alignment/>
    </xf>
    <xf numFmtId="171" fontId="58" fillId="0" borderId="0" xfId="0" applyNumberFormat="1" applyFont="1" applyFill="1" applyAlignment="1">
      <alignment/>
    </xf>
    <xf numFmtId="168" fontId="58" fillId="0" borderId="0" xfId="0" applyNumberFormat="1" applyFont="1" applyFill="1" applyBorder="1" applyAlignment="1">
      <alignment/>
    </xf>
    <xf numFmtId="172" fontId="58" fillId="0" borderId="0" xfId="0" applyNumberFormat="1" applyFont="1" applyAlignment="1">
      <alignment/>
    </xf>
    <xf numFmtId="164" fontId="58" fillId="33" borderId="0" xfId="0" applyNumberFormat="1" applyFont="1" applyFill="1" applyBorder="1" applyAlignment="1" quotePrefix="1">
      <alignment horizontal="center"/>
    </xf>
    <xf numFmtId="168" fontId="60" fillId="0" borderId="0" xfId="0" applyNumberFormat="1" applyFont="1" applyFill="1" applyAlignment="1">
      <alignment/>
    </xf>
    <xf numFmtId="41" fontId="2" fillId="33" borderId="12" xfId="0" applyNumberFormat="1" applyFont="1" applyFill="1" applyBorder="1" applyAlignment="1">
      <alignment/>
    </xf>
    <xf numFmtId="41" fontId="3" fillId="0" borderId="0" xfId="0" applyNumberFormat="1" applyFont="1" applyFill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41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gsportal.onshore.pgs.com/bu/corp/finance/corpaccounting/reporting/quarterlyresult/QuarterlyReportQ22010/Q2_2010_IS_and_B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Compr &amp; 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0"/>
  <sheetViews>
    <sheetView showGridLines="0" tabSelected="1" view="pageBreakPreview" zoomScaleSheetLayoutView="100" workbookViewId="0" topLeftCell="A1">
      <selection activeCell="A10" sqref="A10"/>
    </sheetView>
  </sheetViews>
  <sheetFormatPr defaultColWidth="9.140625" defaultRowHeight="12.75"/>
  <cols>
    <col min="1" max="1" width="3.00390625" style="2" customWidth="1"/>
    <col min="2" max="2" width="44.28125" style="2" customWidth="1"/>
    <col min="3" max="3" width="1.7109375" style="2" customWidth="1"/>
    <col min="4" max="4" width="12.421875" style="2" customWidth="1"/>
    <col min="5" max="5" width="1.7109375" style="2" customWidth="1"/>
    <col min="6" max="6" width="12.00390625" style="2" customWidth="1"/>
    <col min="7" max="7" width="1.1484375" style="2" customWidth="1"/>
    <col min="8" max="8" width="12.00390625" style="2" customWidth="1"/>
    <col min="9" max="9" width="0.9921875" style="2" customWidth="1"/>
    <col min="10" max="10" width="12.00390625" style="2" customWidth="1"/>
    <col min="11" max="11" width="1.28515625" style="2" customWidth="1"/>
    <col min="12" max="12" width="12.00390625" style="2" customWidth="1"/>
    <col min="13" max="13" width="1.1484375" style="2" customWidth="1"/>
    <col min="14" max="14" width="12.00390625" style="2" customWidth="1"/>
    <col min="15" max="15" width="1.57421875" style="2" customWidth="1"/>
    <col min="16" max="16" width="12.00390625" style="2" customWidth="1"/>
    <col min="17" max="17" width="1.421875" style="2" customWidth="1"/>
    <col min="18" max="18" width="11.28125" style="2" customWidth="1"/>
    <col min="19" max="19" width="1.7109375" style="2" customWidth="1"/>
    <col min="20" max="20" width="11.7109375" style="2" customWidth="1"/>
    <col min="21" max="21" width="1.7109375" style="2" customWidth="1"/>
    <col min="22" max="16384" width="9.140625" style="2" customWidth="1"/>
  </cols>
  <sheetData>
    <row r="1" spans="1:21" ht="18.75" customHeight="1">
      <c r="A1" s="325" t="s">
        <v>145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110"/>
      <c r="S1" s="110"/>
      <c r="T1" s="110"/>
      <c r="U1" s="110"/>
    </row>
    <row r="2" spans="1:21" ht="20.25">
      <c r="A2" s="325" t="s">
        <v>259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110"/>
      <c r="S2" s="110"/>
      <c r="T2" s="110"/>
      <c r="U2" s="110"/>
    </row>
    <row r="3" ht="12.75"/>
    <row r="4" spans="1:26" ht="13.5" customHeight="1">
      <c r="A4" s="8" t="s">
        <v>66</v>
      </c>
      <c r="B4" s="9"/>
      <c r="C4" s="9"/>
      <c r="D4" s="9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7" ht="12.75" customHeight="1">
      <c r="A5" s="235" t="s">
        <v>280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10"/>
    </row>
    <row r="6" spans="1:27" ht="12.75" customHeight="1">
      <c r="A6" s="235" t="s">
        <v>239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10"/>
    </row>
    <row r="7" spans="1:27" ht="12.75" customHeight="1">
      <c r="A7" s="235" t="s">
        <v>240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10"/>
    </row>
    <row r="8" spans="1:27" ht="12.75" customHeight="1">
      <c r="A8" s="2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10"/>
    </row>
    <row r="9" spans="1:26" ht="13.5" customHeight="1">
      <c r="A9" s="10" t="s">
        <v>67</v>
      </c>
      <c r="B9" s="10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10" t="s">
        <v>68</v>
      </c>
      <c r="B10" s="10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3.5" customHeight="1">
      <c r="A11" s="10" t="s">
        <v>69</v>
      </c>
      <c r="B11" s="10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7" ht="12.75" customHeight="1">
      <c r="A12" s="240" t="s">
        <v>250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10"/>
    </row>
    <row r="13" spans="1:27" ht="12.75" customHeight="1">
      <c r="A13" s="240" t="s">
        <v>251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10"/>
    </row>
    <row r="14" spans="1:27" ht="12.75" customHeight="1">
      <c r="A14" s="240" t="s">
        <v>234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10"/>
    </row>
    <row r="15" spans="1:27" ht="12.75" customHeight="1">
      <c r="A15" s="240" t="s">
        <v>281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10"/>
    </row>
    <row r="16" spans="1:27" ht="12.75" customHeight="1">
      <c r="A16" s="230" t="s">
        <v>235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10"/>
    </row>
    <row r="17" spans="1:27" s="127" customFormat="1" ht="12.75" customHeight="1">
      <c r="A17" s="230" t="s">
        <v>236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1:27" ht="12.75" customHeight="1">
      <c r="A18" s="230" t="s">
        <v>237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10"/>
    </row>
    <row r="19" spans="1:27" ht="12.75" customHeight="1">
      <c r="A19" s="8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10"/>
    </row>
    <row r="20" spans="1:27" ht="12.75" customHeight="1">
      <c r="A20" s="8" t="s">
        <v>70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10"/>
    </row>
    <row r="21" spans="1:27" ht="12.75" customHeight="1">
      <c r="A21" s="230" t="s">
        <v>181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10"/>
    </row>
    <row r="22" spans="1:27" ht="12.75" customHeight="1">
      <c r="A22" s="230" t="s">
        <v>182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10"/>
    </row>
    <row r="23" spans="1:27" ht="12.75" customHeight="1">
      <c r="A23" s="240" t="s">
        <v>241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10"/>
    </row>
    <row r="24" spans="1:27" ht="12.75" customHeight="1">
      <c r="A24" s="230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10"/>
    </row>
    <row r="25" spans="1:27" ht="12.75" customHeight="1">
      <c r="A25" s="230" t="s">
        <v>183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10"/>
    </row>
    <row r="26" spans="1:27" ht="12.75" customHeight="1">
      <c r="A26" s="240" t="s">
        <v>249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10"/>
    </row>
    <row r="27" spans="1:27" ht="12.75" customHeight="1">
      <c r="A27" s="240" t="s">
        <v>242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10"/>
    </row>
    <row r="28" spans="1:27" ht="12.75" customHeight="1">
      <c r="A28" s="230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10"/>
    </row>
    <row r="29" spans="1:27" ht="15.75" customHeight="1">
      <c r="A29" s="232" t="s">
        <v>243</v>
      </c>
      <c r="B29" s="35"/>
      <c r="C29" s="230"/>
      <c r="E29" s="297"/>
      <c r="F29" s="268"/>
      <c r="G29" s="268"/>
      <c r="H29" s="268"/>
      <c r="I29" s="268"/>
      <c r="J29" s="268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10"/>
    </row>
    <row r="30" spans="1:27" ht="12.75" customHeight="1">
      <c r="A30" s="2" t="s">
        <v>260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10"/>
    </row>
    <row r="31" spans="2:27" ht="12.75" customHeight="1" hidden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10"/>
    </row>
    <row r="32" spans="2:27" ht="12.75" customHeight="1" hidden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10"/>
    </row>
    <row r="33" spans="2:27" ht="12.7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10"/>
    </row>
    <row r="34" spans="1:27" ht="12.75" customHeight="1">
      <c r="A34" s="37" t="s">
        <v>71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10"/>
    </row>
    <row r="35" spans="1:27" ht="12.75" customHeight="1">
      <c r="A35" s="5" t="s">
        <v>269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10"/>
    </row>
    <row r="36" spans="1:27" ht="12.75" customHeight="1">
      <c r="A36" s="5" t="s">
        <v>270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10"/>
    </row>
    <row r="37" spans="1:27" ht="12.75" customHeight="1">
      <c r="A37" s="5" t="s">
        <v>271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10"/>
    </row>
    <row r="38" spans="1:27" ht="12.75" customHeight="1">
      <c r="A38" s="5" t="s">
        <v>272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10"/>
    </row>
    <row r="39" spans="1:27" ht="12.75" customHeight="1">
      <c r="A39" s="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10"/>
    </row>
    <row r="40" spans="1:25" s="122" customFormat="1" ht="13.5" thickBot="1">
      <c r="A40" s="38" t="s">
        <v>72</v>
      </c>
      <c r="B40" s="38"/>
      <c r="C40" s="38"/>
      <c r="D40" s="128"/>
      <c r="E40" s="38"/>
      <c r="F40" s="38"/>
      <c r="G40" s="38"/>
      <c r="H40" s="38"/>
      <c r="I40" s="38"/>
      <c r="J40" s="38"/>
      <c r="K40" s="38"/>
      <c r="L40" s="38"/>
      <c r="M40" s="32"/>
      <c r="N40" s="32"/>
      <c r="O40" s="32"/>
      <c r="P40" s="32"/>
      <c r="S40" s="32"/>
      <c r="T40" s="32"/>
      <c r="Y40" s="25"/>
    </row>
    <row r="41" spans="1:21" s="153" customFormat="1" ht="12.75">
      <c r="A41" s="89"/>
      <c r="B41" s="89"/>
      <c r="C41" s="89"/>
      <c r="D41" s="322" t="s">
        <v>8</v>
      </c>
      <c r="E41" s="322"/>
      <c r="F41" s="322"/>
      <c r="G41" s="66"/>
      <c r="H41" s="317" t="s">
        <v>261</v>
      </c>
      <c r="I41" s="317"/>
      <c r="J41" s="317"/>
      <c r="K41" s="66"/>
      <c r="L41" s="271" t="s">
        <v>37</v>
      </c>
      <c r="O41" s="151"/>
      <c r="P41" s="151"/>
      <c r="U41" s="92"/>
    </row>
    <row r="42" spans="1:21" s="153" customFormat="1" ht="12.75">
      <c r="A42" s="152"/>
      <c r="B42" s="152"/>
      <c r="C42" s="152"/>
      <c r="D42" s="318" t="s">
        <v>262</v>
      </c>
      <c r="E42" s="318"/>
      <c r="F42" s="318"/>
      <c r="G42" s="1"/>
      <c r="H42" s="316" t="s">
        <v>262</v>
      </c>
      <c r="I42" s="316"/>
      <c r="J42" s="316"/>
      <c r="K42" s="66"/>
      <c r="L42" s="271" t="s">
        <v>6</v>
      </c>
      <c r="O42" s="152"/>
      <c r="P42" s="152"/>
      <c r="U42" s="92"/>
    </row>
    <row r="43" spans="1:21" s="153" customFormat="1" ht="12.75">
      <c r="A43" s="136" t="s">
        <v>7</v>
      </c>
      <c r="B43" s="154"/>
      <c r="C43" s="92"/>
      <c r="D43" s="56">
        <v>2010</v>
      </c>
      <c r="E43" s="129"/>
      <c r="F43" s="26">
        <v>2009</v>
      </c>
      <c r="G43" s="68"/>
      <c r="H43" s="290">
        <v>2010</v>
      </c>
      <c r="I43" s="129"/>
      <c r="J43" s="299">
        <v>2009</v>
      </c>
      <c r="K43" s="26">
        <v>2009</v>
      </c>
      <c r="L43" s="272">
        <v>2009</v>
      </c>
      <c r="N43" s="155"/>
      <c r="O43" s="155"/>
      <c r="P43" s="92"/>
      <c r="Q43" s="92"/>
      <c r="R43" s="92"/>
      <c r="S43" s="92"/>
      <c r="U43" s="92"/>
    </row>
    <row r="44" spans="1:25" s="153" customFormat="1" ht="12.75">
      <c r="A44" s="225" t="s">
        <v>193</v>
      </c>
      <c r="B44" s="89"/>
      <c r="C44" s="92"/>
      <c r="D44" s="320" t="s">
        <v>5</v>
      </c>
      <c r="E44" s="320"/>
      <c r="F44" s="320"/>
      <c r="G44" s="320"/>
      <c r="H44" s="320"/>
      <c r="I44" s="320"/>
      <c r="J44" s="320"/>
      <c r="K44" s="320"/>
      <c r="L44" s="320"/>
      <c r="M44" s="218"/>
      <c r="N44" s="218"/>
      <c r="O44" s="218"/>
      <c r="P44" s="218"/>
      <c r="Q44" s="218"/>
      <c r="R44" s="156"/>
      <c r="S44" s="156"/>
      <c r="T44" s="155"/>
      <c r="U44" s="155"/>
      <c r="V44" s="92"/>
      <c r="W44" s="92"/>
      <c r="X44" s="92"/>
      <c r="Y44" s="92"/>
    </row>
    <row r="45" spans="1:23" s="153" customFormat="1" ht="12.75">
      <c r="A45" s="92" t="s">
        <v>7</v>
      </c>
      <c r="B45" s="25" t="s">
        <v>56</v>
      </c>
      <c r="C45" s="92"/>
      <c r="D45" s="130"/>
      <c r="E45" s="157"/>
      <c r="F45" s="157"/>
      <c r="G45" s="157"/>
      <c r="H45" s="157"/>
      <c r="I45" s="157"/>
      <c r="J45" s="157"/>
      <c r="K45" s="157"/>
      <c r="L45" s="130"/>
      <c r="M45" s="158"/>
      <c r="P45" s="155"/>
      <c r="Q45" s="159"/>
      <c r="R45" s="92"/>
      <c r="S45" s="92"/>
      <c r="T45" s="92"/>
      <c r="U45" s="92"/>
      <c r="W45" s="92"/>
    </row>
    <row r="46" spans="1:23" s="153" customFormat="1" ht="12.75">
      <c r="A46" s="92"/>
      <c r="B46" s="32" t="s">
        <v>1</v>
      </c>
      <c r="C46" s="92"/>
      <c r="D46" s="70">
        <f>+H46-155384</f>
        <v>126771</v>
      </c>
      <c r="E46" s="160"/>
      <c r="F46" s="73">
        <f>+J46-319327</f>
        <v>152288</v>
      </c>
      <c r="G46" s="73"/>
      <c r="H46" s="70">
        <v>282155</v>
      </c>
      <c r="I46" s="160"/>
      <c r="J46" s="73">
        <v>471615</v>
      </c>
      <c r="K46" s="132"/>
      <c r="L46" s="73">
        <v>893050</v>
      </c>
      <c r="M46" s="158"/>
      <c r="P46" s="155"/>
      <c r="Q46" s="159"/>
      <c r="R46" s="92"/>
      <c r="S46" s="92"/>
      <c r="T46" s="92"/>
      <c r="U46" s="92"/>
      <c r="W46" s="92"/>
    </row>
    <row r="47" spans="1:23" s="153" customFormat="1" ht="12.75">
      <c r="A47" s="92"/>
      <c r="B47" s="25" t="s">
        <v>74</v>
      </c>
      <c r="C47" s="92"/>
      <c r="D47" s="71">
        <f>+H47-34321</f>
        <v>34011</v>
      </c>
      <c r="E47" s="132"/>
      <c r="F47" s="86">
        <f>+J47-23441</f>
        <v>82658</v>
      </c>
      <c r="G47" s="86"/>
      <c r="H47" s="71">
        <v>68332</v>
      </c>
      <c r="I47" s="132"/>
      <c r="J47" s="86">
        <v>106099</v>
      </c>
      <c r="K47" s="132"/>
      <c r="L47" s="86">
        <v>169043</v>
      </c>
      <c r="M47" s="161"/>
      <c r="P47" s="155"/>
      <c r="Q47" s="159"/>
      <c r="R47" s="92"/>
      <c r="S47" s="92"/>
      <c r="T47" s="92"/>
      <c r="U47" s="92"/>
      <c r="W47" s="92"/>
    </row>
    <row r="48" spans="1:23" s="153" customFormat="1" ht="12.75">
      <c r="A48" s="89"/>
      <c r="B48" s="32" t="s">
        <v>75</v>
      </c>
      <c r="C48" s="89"/>
      <c r="D48" s="71">
        <f>+H48-42200</f>
        <v>25757</v>
      </c>
      <c r="E48" s="132"/>
      <c r="F48" s="86">
        <f>+J48-22717</f>
        <v>29084</v>
      </c>
      <c r="G48" s="86"/>
      <c r="H48" s="71">
        <v>67957</v>
      </c>
      <c r="I48" s="132"/>
      <c r="J48" s="86">
        <v>51801</v>
      </c>
      <c r="K48" s="132"/>
      <c r="L48" s="86">
        <v>181635</v>
      </c>
      <c r="M48" s="132"/>
      <c r="P48" s="155"/>
      <c r="Q48" s="159"/>
      <c r="R48" s="92"/>
      <c r="S48" s="92"/>
      <c r="T48" s="92"/>
      <c r="U48" s="92"/>
      <c r="W48" s="92"/>
    </row>
    <row r="49" spans="1:23" s="153" customFormat="1" ht="12.75">
      <c r="A49" s="89"/>
      <c r="B49" s="32" t="s">
        <v>76</v>
      </c>
      <c r="C49" s="89"/>
      <c r="D49" s="71">
        <f>+H49-(22987+220)</f>
        <v>24864</v>
      </c>
      <c r="E49" s="132"/>
      <c r="F49" s="86">
        <f>+J49-(20327+249)</f>
        <v>24458</v>
      </c>
      <c r="G49" s="86"/>
      <c r="H49" s="71">
        <f>47851+220</f>
        <v>48071</v>
      </c>
      <c r="I49" s="132"/>
      <c r="J49" s="86">
        <f>44428+606</f>
        <v>45034</v>
      </c>
      <c r="K49" s="132"/>
      <c r="L49" s="86">
        <f>88661+1497</f>
        <v>90158</v>
      </c>
      <c r="M49" s="132"/>
      <c r="P49" s="155"/>
      <c r="Q49" s="159"/>
      <c r="R49" s="92"/>
      <c r="S49" s="92"/>
      <c r="T49" s="92"/>
      <c r="U49" s="92"/>
      <c r="W49" s="92"/>
    </row>
    <row r="50" spans="1:23" s="153" customFormat="1" ht="12.75">
      <c r="A50" s="89"/>
      <c r="B50" s="32" t="s">
        <v>2</v>
      </c>
      <c r="C50" s="89"/>
      <c r="D50" s="71">
        <f>+H50-3183</f>
        <v>1637</v>
      </c>
      <c r="E50" s="132"/>
      <c r="F50" s="86">
        <f>+J50-4761</f>
        <v>5782</v>
      </c>
      <c r="G50" s="86"/>
      <c r="H50" s="71">
        <f>7779-2959</f>
        <v>4820</v>
      </c>
      <c r="I50" s="132"/>
      <c r="J50" s="86">
        <v>10543</v>
      </c>
      <c r="K50" s="132"/>
      <c r="L50" s="86">
        <v>15816</v>
      </c>
      <c r="M50" s="132" t="s">
        <v>7</v>
      </c>
      <c r="P50" s="155"/>
      <c r="Q50" s="159"/>
      <c r="R50" s="92"/>
      <c r="S50" s="92"/>
      <c r="T50" s="92"/>
      <c r="U50" s="92"/>
      <c r="W50" s="92"/>
    </row>
    <row r="51" spans="1:23" s="153" customFormat="1" ht="12.75">
      <c r="A51" s="162"/>
      <c r="B51" s="113" t="s">
        <v>77</v>
      </c>
      <c r="C51" s="89"/>
      <c r="D51" s="72">
        <f>SUM(D46:D50)</f>
        <v>213040</v>
      </c>
      <c r="E51" s="161"/>
      <c r="F51" s="87">
        <f>SUM(F46:F50)</f>
        <v>294270</v>
      </c>
      <c r="G51" s="133"/>
      <c r="H51" s="72">
        <f>SUM(H46:H50)</f>
        <v>471335</v>
      </c>
      <c r="I51" s="161"/>
      <c r="J51" s="87">
        <f>SUM(J46:J50)</f>
        <v>685092</v>
      </c>
      <c r="K51" s="163"/>
      <c r="L51" s="87">
        <f>SUM(L46:L50)</f>
        <v>1349702</v>
      </c>
      <c r="M51" s="163"/>
      <c r="P51" s="155"/>
      <c r="Q51" s="159"/>
      <c r="R51" s="92"/>
      <c r="S51" s="92"/>
      <c r="T51" s="92"/>
      <c r="U51" s="92"/>
      <c r="W51" s="92"/>
    </row>
    <row r="52" spans="1:23" s="153" customFormat="1" ht="12.75">
      <c r="A52" s="89"/>
      <c r="B52" s="32" t="s">
        <v>78</v>
      </c>
      <c r="C52" s="89"/>
      <c r="D52" s="30"/>
      <c r="E52" s="91"/>
      <c r="F52" s="30"/>
      <c r="G52" s="30"/>
      <c r="H52" s="30"/>
      <c r="I52" s="91"/>
      <c r="J52" s="304"/>
      <c r="K52" s="164"/>
      <c r="L52" s="168"/>
      <c r="M52" s="164"/>
      <c r="Q52" s="159"/>
      <c r="R52" s="92"/>
      <c r="S52" s="92"/>
      <c r="T52" s="92"/>
      <c r="U52" s="92"/>
      <c r="V52" s="92"/>
      <c r="W52" s="92"/>
    </row>
    <row r="53" spans="1:23" s="153" customFormat="1" ht="12.75" hidden="1">
      <c r="A53" s="89"/>
      <c r="B53" s="32" t="s">
        <v>1</v>
      </c>
      <c r="C53" s="89"/>
      <c r="D53" s="57">
        <v>0</v>
      </c>
      <c r="E53" s="93"/>
      <c r="F53" s="24">
        <v>0</v>
      </c>
      <c r="G53" s="24"/>
      <c r="H53" s="57">
        <v>0</v>
      </c>
      <c r="I53" s="93"/>
      <c r="J53" s="305">
        <v>0</v>
      </c>
      <c r="K53" s="93"/>
      <c r="L53" s="24">
        <v>0</v>
      </c>
      <c r="M53" s="164"/>
      <c r="Q53" s="159"/>
      <c r="R53" s="92"/>
      <c r="S53" s="92"/>
      <c r="T53" s="92"/>
      <c r="U53" s="92"/>
      <c r="V53" s="92"/>
      <c r="W53" s="92"/>
    </row>
    <row r="54" spans="1:23" s="153" customFormat="1" ht="12.75">
      <c r="A54" s="89"/>
      <c r="B54" s="32" t="s">
        <v>75</v>
      </c>
      <c r="C54" s="89"/>
      <c r="D54" s="62">
        <f>+H54-0</f>
        <v>0</v>
      </c>
      <c r="E54" s="93"/>
      <c r="F54" s="86">
        <v>0</v>
      </c>
      <c r="G54" s="86"/>
      <c r="H54" s="62">
        <v>0</v>
      </c>
      <c r="I54" s="93"/>
      <c r="J54" s="86">
        <v>0</v>
      </c>
      <c r="K54" s="93"/>
      <c r="L54" s="24">
        <v>500</v>
      </c>
      <c r="M54" s="164"/>
      <c r="Q54" s="159"/>
      <c r="R54" s="92"/>
      <c r="S54" s="92"/>
      <c r="T54" s="92"/>
      <c r="U54" s="92"/>
      <c r="V54" s="92"/>
      <c r="W54" s="92"/>
    </row>
    <row r="55" spans="1:23" s="153" customFormat="1" ht="12.75">
      <c r="A55" s="89"/>
      <c r="B55" s="32" t="s">
        <v>2</v>
      </c>
      <c r="C55" s="89" t="s">
        <v>7</v>
      </c>
      <c r="D55" s="62">
        <f>+H55-1138</f>
        <v>1821</v>
      </c>
      <c r="E55" s="165"/>
      <c r="F55" s="53">
        <v>0</v>
      </c>
      <c r="G55" s="53"/>
      <c r="H55" s="62">
        <v>2959</v>
      </c>
      <c r="I55" s="165"/>
      <c r="J55" s="53">
        <v>0</v>
      </c>
      <c r="K55" s="165"/>
      <c r="L55" s="53">
        <v>0</v>
      </c>
      <c r="M55" s="164"/>
      <c r="Q55" s="159"/>
      <c r="R55" s="92"/>
      <c r="S55" s="92"/>
      <c r="T55" s="92"/>
      <c r="U55" s="92"/>
      <c r="V55" s="92"/>
      <c r="W55" s="92"/>
    </row>
    <row r="56" spans="1:23" s="153" customFormat="1" ht="12.75">
      <c r="A56" s="162"/>
      <c r="B56" s="113" t="s">
        <v>79</v>
      </c>
      <c r="C56" s="89"/>
      <c r="D56" s="60">
        <f>SUM(D53:D55)</f>
        <v>1821</v>
      </c>
      <c r="E56" s="91"/>
      <c r="F56" s="29">
        <f>SUM(F53:F55)</f>
        <v>0</v>
      </c>
      <c r="G56" s="30"/>
      <c r="H56" s="60">
        <f>SUM(H53:H55)</f>
        <v>2959</v>
      </c>
      <c r="I56" s="91"/>
      <c r="J56" s="29">
        <f>SUM(J53:J55)</f>
        <v>0</v>
      </c>
      <c r="K56" s="164"/>
      <c r="L56" s="29">
        <f>SUM(L53:L55)</f>
        <v>500</v>
      </c>
      <c r="M56" s="164"/>
      <c r="Q56" s="159"/>
      <c r="R56" s="92"/>
      <c r="S56" s="92"/>
      <c r="T56" s="92"/>
      <c r="U56" s="92"/>
      <c r="V56" s="92"/>
      <c r="W56" s="92"/>
    </row>
    <row r="57" spans="1:23" s="153" customFormat="1" ht="12.75" hidden="1">
      <c r="A57" s="89"/>
      <c r="B57" s="32" t="s">
        <v>80</v>
      </c>
      <c r="C57" s="89"/>
      <c r="D57" s="53"/>
      <c r="E57" s="165"/>
      <c r="F57" s="53"/>
      <c r="G57" s="53"/>
      <c r="H57" s="53"/>
      <c r="I57" s="165"/>
      <c r="J57" s="300"/>
      <c r="K57" s="165"/>
      <c r="L57" s="222"/>
      <c r="M57" s="164"/>
      <c r="Q57" s="159"/>
      <c r="R57" s="92"/>
      <c r="S57" s="92"/>
      <c r="T57" s="92"/>
      <c r="U57" s="92"/>
      <c r="V57" s="92"/>
      <c r="W57" s="92"/>
    </row>
    <row r="58" spans="1:23" s="153" customFormat="1" ht="12.75" hidden="1">
      <c r="A58" s="89"/>
      <c r="B58" s="32" t="s">
        <v>76</v>
      </c>
      <c r="C58" s="89"/>
      <c r="D58" s="134">
        <v>0</v>
      </c>
      <c r="E58" s="166"/>
      <c r="F58" s="135">
        <v>0</v>
      </c>
      <c r="G58" s="135"/>
      <c r="H58" s="134">
        <v>0</v>
      </c>
      <c r="I58" s="166"/>
      <c r="J58" s="306">
        <v>0</v>
      </c>
      <c r="K58" s="166"/>
      <c r="L58" s="273">
        <v>0</v>
      </c>
      <c r="M58" s="164"/>
      <c r="Q58" s="159"/>
      <c r="R58" s="92"/>
      <c r="S58" s="92"/>
      <c r="T58" s="92"/>
      <c r="U58" s="92"/>
      <c r="V58" s="92"/>
      <c r="W58" s="92"/>
    </row>
    <row r="59" spans="1:23" s="153" customFormat="1" ht="12.75" hidden="1">
      <c r="A59" s="89"/>
      <c r="B59" s="32" t="s">
        <v>2</v>
      </c>
      <c r="C59" s="89"/>
      <c r="D59" s="71"/>
      <c r="E59" s="132"/>
      <c r="F59" s="86">
        <v>0</v>
      </c>
      <c r="G59" s="86"/>
      <c r="H59" s="71"/>
      <c r="I59" s="132"/>
      <c r="J59" s="302">
        <v>0</v>
      </c>
      <c r="K59" s="132"/>
      <c r="L59" s="86">
        <v>0</v>
      </c>
      <c r="M59" s="164"/>
      <c r="Q59" s="159"/>
      <c r="R59" s="92"/>
      <c r="S59" s="92"/>
      <c r="T59" s="92"/>
      <c r="U59" s="92"/>
      <c r="V59" s="92"/>
      <c r="W59" s="92"/>
    </row>
    <row r="60" spans="1:23" s="153" customFormat="1" ht="12.75" hidden="1">
      <c r="A60" s="162" t="s">
        <v>7</v>
      </c>
      <c r="B60" s="113" t="s">
        <v>81</v>
      </c>
      <c r="C60" s="89"/>
      <c r="D60" s="72">
        <f>SUM(D58:D59)</f>
        <v>0</v>
      </c>
      <c r="E60" s="161"/>
      <c r="F60" s="87">
        <f>SUM(F58:F59)</f>
        <v>0</v>
      </c>
      <c r="G60" s="133"/>
      <c r="H60" s="72">
        <f>SUM(H58:H59)</f>
        <v>0</v>
      </c>
      <c r="I60" s="161"/>
      <c r="J60" s="303">
        <f>SUM(J58:J59)</f>
        <v>0</v>
      </c>
      <c r="K60" s="163"/>
      <c r="L60" s="87">
        <f>SUM(L58:L59)</f>
        <v>0</v>
      </c>
      <c r="M60" s="164"/>
      <c r="O60" s="198"/>
      <c r="Q60" s="159"/>
      <c r="R60" s="92"/>
      <c r="S60" s="92"/>
      <c r="T60" s="92"/>
      <c r="U60" s="92"/>
      <c r="V60" s="92"/>
      <c r="W60" s="92"/>
    </row>
    <row r="61" spans="1:23" s="153" customFormat="1" ht="12.75">
      <c r="A61" s="89"/>
      <c r="B61" s="32" t="s">
        <v>82</v>
      </c>
      <c r="C61" s="89"/>
      <c r="D61" s="133"/>
      <c r="E61" s="161"/>
      <c r="F61" s="163"/>
      <c r="G61" s="163"/>
      <c r="H61" s="133"/>
      <c r="I61" s="161"/>
      <c r="J61" s="301"/>
      <c r="K61" s="163"/>
      <c r="L61" s="223"/>
      <c r="M61" s="164"/>
      <c r="Q61" s="159"/>
      <c r="R61" s="92"/>
      <c r="S61" s="92"/>
      <c r="T61" s="92"/>
      <c r="U61" s="92"/>
      <c r="V61" s="92"/>
      <c r="W61" s="92"/>
    </row>
    <row r="62" spans="1:23" s="153" customFormat="1" ht="12.75">
      <c r="A62" s="92"/>
      <c r="B62" s="32" t="s">
        <v>1</v>
      </c>
      <c r="C62" s="92"/>
      <c r="D62" s="70">
        <f>D46+D53</f>
        <v>126771</v>
      </c>
      <c r="E62" s="73"/>
      <c r="F62" s="73">
        <f>F46+F53</f>
        <v>152288</v>
      </c>
      <c r="G62" s="73"/>
      <c r="H62" s="70">
        <f>H46+H53</f>
        <v>282155</v>
      </c>
      <c r="I62" s="73"/>
      <c r="J62" s="73">
        <f>J46+J53</f>
        <v>471615</v>
      </c>
      <c r="K62" s="73"/>
      <c r="L62" s="73">
        <f>L46+L53</f>
        <v>893050</v>
      </c>
      <c r="M62" s="164"/>
      <c r="Q62" s="159"/>
      <c r="R62" s="92"/>
      <c r="S62" s="92"/>
      <c r="T62" s="92"/>
      <c r="U62" s="92"/>
      <c r="V62" s="92"/>
      <c r="W62" s="92"/>
    </row>
    <row r="63" spans="1:23" s="153" customFormat="1" ht="12.75">
      <c r="A63" s="92"/>
      <c r="B63" s="25" t="s">
        <v>74</v>
      </c>
      <c r="C63" s="92"/>
      <c r="D63" s="71">
        <f>D47</f>
        <v>34011</v>
      </c>
      <c r="E63" s="86"/>
      <c r="F63" s="86">
        <f>F47</f>
        <v>82658</v>
      </c>
      <c r="G63" s="86"/>
      <c r="H63" s="71">
        <f>H47</f>
        <v>68332</v>
      </c>
      <c r="I63" s="86"/>
      <c r="J63" s="86">
        <f>J47</f>
        <v>106099</v>
      </c>
      <c r="K63" s="86"/>
      <c r="L63" s="86">
        <f>L47</f>
        <v>169043</v>
      </c>
      <c r="M63" s="164"/>
      <c r="Q63" s="159"/>
      <c r="R63" s="92"/>
      <c r="S63" s="92"/>
      <c r="T63" s="92"/>
      <c r="U63" s="92"/>
      <c r="V63" s="92"/>
      <c r="W63" s="92"/>
    </row>
    <row r="64" spans="1:23" s="153" customFormat="1" ht="12.75">
      <c r="A64" s="89"/>
      <c r="B64" s="32" t="s">
        <v>75</v>
      </c>
      <c r="C64" s="89"/>
      <c r="D64" s="71">
        <f>D48+D54</f>
        <v>25757</v>
      </c>
      <c r="E64" s="86"/>
      <c r="F64" s="86">
        <f>F48</f>
        <v>29084</v>
      </c>
      <c r="G64" s="86"/>
      <c r="H64" s="71">
        <f>H48+H54</f>
        <v>67957</v>
      </c>
      <c r="I64" s="86"/>
      <c r="J64" s="86">
        <f>J48</f>
        <v>51801</v>
      </c>
      <c r="K64" s="86"/>
      <c r="L64" s="86">
        <f>L48+L54</f>
        <v>182135</v>
      </c>
      <c r="M64" s="164"/>
      <c r="Q64" s="159"/>
      <c r="R64" s="92"/>
      <c r="S64" s="92"/>
      <c r="T64" s="92"/>
      <c r="U64" s="92"/>
      <c r="V64" s="92"/>
      <c r="W64" s="92"/>
    </row>
    <row r="65" spans="1:23" s="153" customFormat="1" ht="12.75">
      <c r="A65" s="89"/>
      <c r="B65" s="32" t="s">
        <v>76</v>
      </c>
      <c r="C65" s="89"/>
      <c r="D65" s="71">
        <f>D49+D58</f>
        <v>24864</v>
      </c>
      <c r="E65" s="86"/>
      <c r="F65" s="86">
        <f>F49+F58</f>
        <v>24458</v>
      </c>
      <c r="G65" s="86"/>
      <c r="H65" s="71">
        <f>H49+H58</f>
        <v>48071</v>
      </c>
      <c r="I65" s="86"/>
      <c r="J65" s="86">
        <f>J49+J58</f>
        <v>45034</v>
      </c>
      <c r="K65" s="86"/>
      <c r="L65" s="86">
        <f>L49</f>
        <v>90158</v>
      </c>
      <c r="M65" s="164"/>
      <c r="Q65" s="159"/>
      <c r="R65" s="92"/>
      <c r="S65" s="92"/>
      <c r="T65" s="92"/>
      <c r="U65" s="92"/>
      <c r="V65" s="92"/>
      <c r="W65" s="92"/>
    </row>
    <row r="66" spans="1:23" s="153" customFormat="1" ht="12.75">
      <c r="A66" s="89"/>
      <c r="B66" s="32" t="s">
        <v>2</v>
      </c>
      <c r="C66" s="89"/>
      <c r="D66" s="71">
        <f>D50+D55+D59</f>
        <v>3458</v>
      </c>
      <c r="E66" s="86"/>
      <c r="F66" s="86">
        <f>F50+F55+F59</f>
        <v>5782</v>
      </c>
      <c r="G66" s="86"/>
      <c r="H66" s="71">
        <f>H50+H55+H59</f>
        <v>7779</v>
      </c>
      <c r="I66" s="86"/>
      <c r="J66" s="86">
        <f>J50+J55+J59</f>
        <v>10543</v>
      </c>
      <c r="K66" s="86"/>
      <c r="L66" s="86">
        <f>L50+L59</f>
        <v>15816</v>
      </c>
      <c r="M66" s="164"/>
      <c r="Q66" s="159"/>
      <c r="R66" s="92"/>
      <c r="S66" s="92"/>
      <c r="T66" s="92"/>
      <c r="U66" s="92"/>
      <c r="V66" s="92"/>
      <c r="W66" s="92"/>
    </row>
    <row r="67" spans="1:23" s="153" customFormat="1" ht="12.75">
      <c r="A67" s="162"/>
      <c r="B67" s="113" t="s">
        <v>170</v>
      </c>
      <c r="C67" s="89"/>
      <c r="D67" s="72">
        <f>SUM(D62:D66)</f>
        <v>214861</v>
      </c>
      <c r="E67" s="131"/>
      <c r="F67" s="87">
        <f>SUM(F62:F66)</f>
        <v>294270</v>
      </c>
      <c r="G67" s="133"/>
      <c r="H67" s="72">
        <f>SUM(H62:H66)</f>
        <v>474294</v>
      </c>
      <c r="I67" s="131"/>
      <c r="J67" s="87">
        <f>SUM(J62:J66)</f>
        <v>685092</v>
      </c>
      <c r="K67" s="133"/>
      <c r="L67" s="87">
        <f>SUM(L62:L66)</f>
        <v>1350202</v>
      </c>
      <c r="M67" s="164"/>
      <c r="Q67" s="159"/>
      <c r="R67" s="92"/>
      <c r="S67" s="92"/>
      <c r="T67" s="92"/>
      <c r="U67" s="92"/>
      <c r="V67" s="92"/>
      <c r="W67" s="92"/>
    </row>
    <row r="68" spans="1:23" s="153" customFormat="1" ht="12.75">
      <c r="A68" s="89"/>
      <c r="B68" s="89"/>
      <c r="C68" s="89"/>
      <c r="D68" s="167"/>
      <c r="E68" s="165"/>
      <c r="F68" s="167"/>
      <c r="G68" s="167"/>
      <c r="H68" s="167"/>
      <c r="I68" s="167"/>
      <c r="J68" s="167"/>
      <c r="K68" s="167"/>
      <c r="L68" s="167"/>
      <c r="M68" s="164"/>
      <c r="Q68" s="159"/>
      <c r="R68" s="92"/>
      <c r="S68" s="92"/>
      <c r="T68" s="92"/>
      <c r="U68" s="92"/>
      <c r="V68" s="92"/>
      <c r="W68" s="92"/>
    </row>
    <row r="69" spans="1:27" ht="12.75">
      <c r="A69" s="109"/>
      <c r="B69" s="109"/>
      <c r="C69" s="5"/>
      <c r="D69" s="91"/>
      <c r="E69" s="17"/>
      <c r="F69" s="17"/>
      <c r="G69" s="17"/>
      <c r="H69" s="17"/>
      <c r="I69" s="17"/>
      <c r="J69" s="17"/>
      <c r="K69" s="17"/>
      <c r="L69" s="17"/>
      <c r="M69" s="17"/>
      <c r="N69" s="91"/>
      <c r="O69" s="17"/>
      <c r="P69" s="17"/>
      <c r="Q69" s="17"/>
      <c r="T69" s="17"/>
      <c r="U69" s="77"/>
      <c r="V69" s="14"/>
      <c r="W69" s="14"/>
      <c r="X69" s="14"/>
      <c r="Y69" s="14"/>
      <c r="Z69" s="5"/>
      <c r="AA69" s="5"/>
    </row>
    <row r="70" spans="1:25" s="122" customFormat="1" ht="13.5" thickBot="1">
      <c r="A70" s="38" t="s">
        <v>83</v>
      </c>
      <c r="B70" s="38"/>
      <c r="C70" s="38"/>
      <c r="D70" s="128"/>
      <c r="E70" s="38"/>
      <c r="F70" s="38"/>
      <c r="G70" s="38"/>
      <c r="H70" s="38"/>
      <c r="I70" s="38"/>
      <c r="J70" s="38"/>
      <c r="K70" s="38"/>
      <c r="L70" s="38"/>
      <c r="M70" s="32"/>
      <c r="N70" s="32"/>
      <c r="O70" s="32"/>
      <c r="P70" s="32"/>
      <c r="S70" s="32"/>
      <c r="T70" s="32"/>
      <c r="X70" s="25"/>
      <c r="Y70" s="32"/>
    </row>
    <row r="71" spans="1:25" s="122" customFormat="1" ht="12.75">
      <c r="A71" s="32"/>
      <c r="B71" s="32"/>
      <c r="C71" s="32"/>
      <c r="D71" s="322" t="s">
        <v>8</v>
      </c>
      <c r="E71" s="322"/>
      <c r="F71" s="322"/>
      <c r="G71" s="66"/>
      <c r="H71" s="317" t="s">
        <v>261</v>
      </c>
      <c r="I71" s="317"/>
      <c r="J71" s="317"/>
      <c r="K71" s="125"/>
      <c r="L71" s="84" t="s">
        <v>37</v>
      </c>
      <c r="M71" s="84"/>
      <c r="N71" s="84"/>
      <c r="O71" s="67"/>
      <c r="P71" s="67"/>
      <c r="S71" s="125"/>
      <c r="T71" s="125"/>
      <c r="X71" s="25"/>
      <c r="Y71" s="32"/>
    </row>
    <row r="72" spans="1:25" s="122" customFormat="1" ht="12.75">
      <c r="A72" s="67"/>
      <c r="B72" s="67"/>
      <c r="C72" s="67"/>
      <c r="D72" s="318" t="s">
        <v>262</v>
      </c>
      <c r="E72" s="318"/>
      <c r="F72" s="318"/>
      <c r="G72" s="1"/>
      <c r="H72" s="316" t="s">
        <v>262</v>
      </c>
      <c r="I72" s="316"/>
      <c r="J72" s="316"/>
      <c r="K72" s="67"/>
      <c r="L72" s="84" t="s">
        <v>6</v>
      </c>
      <c r="M72" s="84"/>
      <c r="N72" s="84"/>
      <c r="O72" s="67"/>
      <c r="P72" s="67"/>
      <c r="S72" s="67"/>
      <c r="T72" s="67"/>
      <c r="X72" s="25"/>
      <c r="Y72" s="25"/>
    </row>
    <row r="73" spans="1:23" s="122" customFormat="1" ht="12.75">
      <c r="A73" s="136"/>
      <c r="B73" s="105"/>
      <c r="C73" s="25"/>
      <c r="D73" s="56">
        <v>2010</v>
      </c>
      <c r="E73" s="129"/>
      <c r="F73" s="26">
        <v>2009</v>
      </c>
      <c r="G73" s="68"/>
      <c r="H73" s="290">
        <v>2010</v>
      </c>
      <c r="I73" s="129"/>
      <c r="J73" s="299">
        <v>2009</v>
      </c>
      <c r="K73" s="68"/>
      <c r="L73" s="272">
        <v>2009</v>
      </c>
      <c r="M73" s="84"/>
      <c r="N73" s="84"/>
      <c r="R73" s="129"/>
      <c r="S73" s="25"/>
      <c r="T73" s="25"/>
      <c r="U73" s="25"/>
      <c r="V73" s="25"/>
      <c r="W73" s="25"/>
    </row>
    <row r="74" spans="1:25" s="122" customFormat="1" ht="12.75">
      <c r="A74" s="225" t="s">
        <v>198</v>
      </c>
      <c r="B74" s="32"/>
      <c r="C74" s="25"/>
      <c r="D74" s="320" t="s">
        <v>5</v>
      </c>
      <c r="E74" s="320"/>
      <c r="F74" s="320"/>
      <c r="G74" s="320"/>
      <c r="H74" s="320"/>
      <c r="I74" s="320"/>
      <c r="J74" s="320"/>
      <c r="K74" s="320"/>
      <c r="L74" s="320"/>
      <c r="M74" s="216"/>
      <c r="N74" s="216"/>
      <c r="O74" s="216"/>
      <c r="P74" s="216"/>
      <c r="U74" s="129"/>
      <c r="V74" s="129"/>
      <c r="W74" s="129"/>
      <c r="X74" s="25"/>
      <c r="Y74" s="25"/>
    </row>
    <row r="75" spans="1:25" s="122" customFormat="1" ht="12.75">
      <c r="A75" s="121" t="s">
        <v>33</v>
      </c>
      <c r="B75" s="48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3"/>
      <c r="N75" s="23"/>
      <c r="O75" s="23"/>
      <c r="P75" s="88"/>
      <c r="T75" s="24"/>
      <c r="U75" s="25"/>
      <c r="V75" s="25"/>
      <c r="W75" s="25"/>
      <c r="X75" s="25"/>
      <c r="Y75" s="25"/>
    </row>
    <row r="76" spans="1:23" s="122" customFormat="1" ht="12.75">
      <c r="A76" s="25"/>
      <c r="B76" s="48" t="s">
        <v>15</v>
      </c>
      <c r="C76" s="25"/>
      <c r="D76" s="57">
        <f>+H76-106310</f>
        <v>80198</v>
      </c>
      <c r="E76" s="24"/>
      <c r="F76" s="24">
        <f>+J76-216563</f>
        <v>163125</v>
      </c>
      <c r="G76" s="24"/>
      <c r="H76" s="57">
        <v>186508</v>
      </c>
      <c r="I76" s="305"/>
      <c r="J76" s="24">
        <v>379688</v>
      </c>
      <c r="K76" s="24"/>
      <c r="L76" s="24">
        <f>702555-200</f>
        <v>702355</v>
      </c>
      <c r="M76" s="23"/>
      <c r="N76" s="23"/>
      <c r="Q76" s="137"/>
      <c r="R76" s="24"/>
      <c r="S76" s="25"/>
      <c r="T76" s="25"/>
      <c r="U76" s="25"/>
      <c r="V76" s="25"/>
      <c r="W76" s="25"/>
    </row>
    <row r="77" spans="1:23" s="122" customFormat="1" ht="12.75" hidden="1">
      <c r="A77" s="25"/>
      <c r="B77" s="48" t="s">
        <v>65</v>
      </c>
      <c r="C77" s="25"/>
      <c r="D77" s="58"/>
      <c r="E77" s="22"/>
      <c r="F77" s="22">
        <v>0</v>
      </c>
      <c r="G77" s="22"/>
      <c r="H77" s="58"/>
      <c r="I77" s="307"/>
      <c r="J77" s="22">
        <v>0</v>
      </c>
      <c r="K77" s="22"/>
      <c r="L77" s="53">
        <v>0</v>
      </c>
      <c r="M77" s="28"/>
      <c r="N77" s="28"/>
      <c r="Q77" s="137"/>
      <c r="R77" s="24"/>
      <c r="S77" s="25"/>
      <c r="T77" s="25"/>
      <c r="U77" s="25"/>
      <c r="V77" s="25"/>
      <c r="W77" s="25"/>
    </row>
    <row r="78" spans="1:23" s="122" customFormat="1" ht="12.75">
      <c r="A78" s="25"/>
      <c r="B78" s="48" t="s">
        <v>84</v>
      </c>
      <c r="C78" s="45"/>
      <c r="D78" s="61">
        <f>+H78--538</f>
        <v>0</v>
      </c>
      <c r="E78" s="45"/>
      <c r="F78" s="45">
        <f>+J78--50585</f>
        <v>-48221</v>
      </c>
      <c r="G78" s="45"/>
      <c r="H78" s="61">
        <v>-538</v>
      </c>
      <c r="I78" s="308"/>
      <c r="J78" s="45">
        <f>-50668-48138</f>
        <v>-98806</v>
      </c>
      <c r="K78" s="45"/>
      <c r="L78" s="53">
        <f>-105086-48138</f>
        <v>-153224</v>
      </c>
      <c r="M78" s="23"/>
      <c r="N78" s="28"/>
      <c r="P78" s="294"/>
      <c r="Q78" s="137"/>
      <c r="R78" s="24"/>
      <c r="S78" s="25"/>
      <c r="T78" s="25"/>
      <c r="U78" s="25"/>
      <c r="V78" s="25"/>
      <c r="W78" s="25"/>
    </row>
    <row r="79" spans="1:23" s="122" customFormat="1" ht="12.75">
      <c r="A79" s="25"/>
      <c r="B79" s="48" t="s">
        <v>85</v>
      </c>
      <c r="C79" s="45"/>
      <c r="D79" s="61">
        <f>+H79-(-26954-17)</f>
        <v>-31410</v>
      </c>
      <c r="E79" s="45"/>
      <c r="F79" s="45">
        <f>+J79--31829</f>
        <v>-25525</v>
      </c>
      <c r="G79" s="45"/>
      <c r="H79" s="61">
        <f>-58348-33</f>
        <v>-58381</v>
      </c>
      <c r="I79" s="308"/>
      <c r="J79" s="45">
        <f>-57253-101</f>
        <v>-57354</v>
      </c>
      <c r="K79" s="45"/>
      <c r="L79" s="53">
        <f>-273966-L80</f>
        <v>-122394</v>
      </c>
      <c r="M79" s="23"/>
      <c r="N79" s="28"/>
      <c r="Q79" s="137"/>
      <c r="R79" s="24"/>
      <c r="S79" s="25"/>
      <c r="T79" s="25"/>
      <c r="U79" s="25"/>
      <c r="V79" s="25"/>
      <c r="W79" s="25"/>
    </row>
    <row r="80" spans="1:23" s="122" customFormat="1" ht="12.75">
      <c r="A80" s="25"/>
      <c r="B80" s="48" t="s">
        <v>86</v>
      </c>
      <c r="C80" s="45"/>
      <c r="D80" s="61">
        <f>+H80-(-2911-31877)</f>
        <v>-32488</v>
      </c>
      <c r="E80" s="45"/>
      <c r="F80" s="45">
        <f>+J80--16066</f>
        <v>-45333</v>
      </c>
      <c r="G80" s="45"/>
      <c r="H80" s="61">
        <f>-998-5938-60340</f>
        <v>-67276</v>
      </c>
      <c r="I80" s="308"/>
      <c r="J80" s="45">
        <f>-3670-57729</f>
        <v>-61399</v>
      </c>
      <c r="K80" s="45"/>
      <c r="L80" s="53">
        <f>-128390-10138-13044</f>
        <v>-151572</v>
      </c>
      <c r="M80" s="23"/>
      <c r="N80" s="28"/>
      <c r="Q80" s="137"/>
      <c r="R80" s="24"/>
      <c r="S80" s="25"/>
      <c r="T80" s="25"/>
      <c r="U80" s="25"/>
      <c r="V80" s="25"/>
      <c r="W80" s="25"/>
    </row>
    <row r="81" spans="1:23" s="122" customFormat="1" ht="12.75">
      <c r="A81" s="113"/>
      <c r="B81" s="49" t="s">
        <v>87</v>
      </c>
      <c r="C81" s="25"/>
      <c r="D81" s="103">
        <f>SUM(D76:D80)</f>
        <v>16300</v>
      </c>
      <c r="E81" s="22"/>
      <c r="F81" s="100">
        <f>SUM(F76:F80)</f>
        <v>44046</v>
      </c>
      <c r="G81" s="28"/>
      <c r="H81" s="103">
        <f>SUM(H76:H80)</f>
        <v>60313</v>
      </c>
      <c r="I81" s="307"/>
      <c r="J81" s="100">
        <f>SUM(J76:J80)</f>
        <v>162129</v>
      </c>
      <c r="K81" s="28"/>
      <c r="L81" s="100">
        <f>SUM(L76:L80)</f>
        <v>275165</v>
      </c>
      <c r="M81" s="28"/>
      <c r="N81" s="28"/>
      <c r="Q81" s="137"/>
      <c r="R81" s="24"/>
      <c r="S81" s="25"/>
      <c r="T81" s="25"/>
      <c r="U81" s="25"/>
      <c r="V81" s="25"/>
      <c r="W81" s="25"/>
    </row>
    <row r="82" spans="1:23" s="122" customFormat="1" ht="12.75">
      <c r="A82" s="121" t="s">
        <v>57</v>
      </c>
      <c r="B82" s="48"/>
      <c r="C82" s="25"/>
      <c r="D82" s="22"/>
      <c r="E82" s="22"/>
      <c r="F82" s="22"/>
      <c r="G82" s="22"/>
      <c r="H82" s="22"/>
      <c r="I82" s="307"/>
      <c r="J82" s="307"/>
      <c r="K82" s="22"/>
      <c r="L82" s="168"/>
      <c r="M82" s="28"/>
      <c r="N82" s="28"/>
      <c r="Q82" s="137"/>
      <c r="R82" s="24"/>
      <c r="S82" s="25"/>
      <c r="T82" s="25"/>
      <c r="U82" s="25"/>
      <c r="V82" s="25"/>
      <c r="W82" s="25"/>
    </row>
    <row r="83" spans="1:23" s="122" customFormat="1" ht="12.75">
      <c r="A83" s="25"/>
      <c r="B83" s="48" t="s">
        <v>15</v>
      </c>
      <c r="C83" s="25"/>
      <c r="D83" s="57">
        <f>+H83-(-2224+269-4814)</f>
        <v>-8408</v>
      </c>
      <c r="E83" s="24"/>
      <c r="F83" s="24">
        <f>+J83--11221</f>
        <v>-8404</v>
      </c>
      <c r="G83" s="24"/>
      <c r="H83" s="57">
        <f>-3326-222-11629</f>
        <v>-15177</v>
      </c>
      <c r="I83" s="305"/>
      <c r="J83" s="24">
        <f>-8996+2017-12646</f>
        <v>-19625</v>
      </c>
      <c r="K83" s="24"/>
      <c r="L83" s="24">
        <f>-11343+4644-22920-1-41</f>
        <v>-29661</v>
      </c>
      <c r="M83" s="23"/>
      <c r="N83" s="23"/>
      <c r="P83" s="294"/>
      <c r="Q83" s="137"/>
      <c r="R83" s="24"/>
      <c r="S83" s="25"/>
      <c r="T83" s="25"/>
      <c r="U83" s="25"/>
      <c r="W83" s="25"/>
    </row>
    <row r="84" spans="1:23" s="122" customFormat="1" ht="12.75">
      <c r="A84" s="25"/>
      <c r="B84" s="48" t="s">
        <v>84</v>
      </c>
      <c r="C84" s="25"/>
      <c r="D84" s="58">
        <f>+H84-0</f>
        <v>0</v>
      </c>
      <c r="E84" s="22"/>
      <c r="F84" s="22">
        <f>+J84-0</f>
        <v>0</v>
      </c>
      <c r="G84" s="22"/>
      <c r="H84" s="58">
        <v>0</v>
      </c>
      <c r="I84" s="307"/>
      <c r="J84" s="22">
        <v>0</v>
      </c>
      <c r="K84" s="22"/>
      <c r="L84" s="53">
        <v>-391</v>
      </c>
      <c r="M84" s="28"/>
      <c r="N84" s="28"/>
      <c r="Q84" s="137"/>
      <c r="R84" s="24"/>
      <c r="S84" s="25"/>
      <c r="T84" s="25"/>
      <c r="U84" s="25"/>
      <c r="V84" s="25"/>
      <c r="W84" s="25"/>
    </row>
    <row r="85" spans="1:23" s="122" customFormat="1" ht="12.75">
      <c r="A85" s="25"/>
      <c r="B85" s="48" t="s">
        <v>85</v>
      </c>
      <c r="C85" s="25"/>
      <c r="D85" s="62">
        <f>+H85-(-726-1933-116)</f>
        <v>-2230</v>
      </c>
      <c r="E85" s="53"/>
      <c r="F85" s="53">
        <f>+J85--2541</f>
        <v>-2144</v>
      </c>
      <c r="G85" s="53"/>
      <c r="H85" s="62">
        <f>-1447-3350-208</f>
        <v>-5005</v>
      </c>
      <c r="I85" s="300"/>
      <c r="J85" s="53">
        <v>-4685</v>
      </c>
      <c r="K85" s="24"/>
      <c r="L85" s="53">
        <f>-4805-5667-852-L86</f>
        <v>-9464</v>
      </c>
      <c r="M85" s="23"/>
      <c r="N85" s="28"/>
      <c r="Q85" s="137"/>
      <c r="R85" s="24"/>
      <c r="S85" s="25"/>
      <c r="T85" s="25"/>
      <c r="U85" s="25"/>
      <c r="V85" s="25"/>
      <c r="W85" s="25"/>
    </row>
    <row r="86" spans="1:23" s="122" customFormat="1" ht="12.75">
      <c r="A86" s="25"/>
      <c r="B86" s="48" t="s">
        <v>86</v>
      </c>
      <c r="C86" s="25"/>
      <c r="D86" s="62">
        <f>+H86-0</f>
        <v>0</v>
      </c>
      <c r="E86" s="53"/>
      <c r="F86" s="53">
        <f>+J86--756</f>
        <v>-33</v>
      </c>
      <c r="G86" s="53"/>
      <c r="H86" s="62">
        <v>0</v>
      </c>
      <c r="I86" s="300"/>
      <c r="J86" s="53">
        <v>-789</v>
      </c>
      <c r="K86" s="24"/>
      <c r="L86" s="53">
        <f>-1560-300</f>
        <v>-1860</v>
      </c>
      <c r="M86" s="23"/>
      <c r="N86" s="28"/>
      <c r="Q86" s="137"/>
      <c r="R86" s="24"/>
      <c r="S86" s="25"/>
      <c r="T86" s="25"/>
      <c r="U86" s="25"/>
      <c r="V86" s="25"/>
      <c r="W86" s="25"/>
    </row>
    <row r="87" spans="1:23" s="122" customFormat="1" ht="12.75">
      <c r="A87" s="113"/>
      <c r="B87" s="49" t="s">
        <v>88</v>
      </c>
      <c r="C87" s="25"/>
      <c r="D87" s="103">
        <f>SUM(D83:D86)</f>
        <v>-10638</v>
      </c>
      <c r="E87" s="22"/>
      <c r="F87" s="100">
        <f>SUM(F83:F86)</f>
        <v>-10581</v>
      </c>
      <c r="G87" s="28"/>
      <c r="H87" s="103">
        <f>SUM(H83:H86)</f>
        <v>-20182</v>
      </c>
      <c r="I87" s="307"/>
      <c r="J87" s="100">
        <f>SUM(J83:J86)</f>
        <v>-25099</v>
      </c>
      <c r="K87" s="28"/>
      <c r="L87" s="100">
        <f>SUM(L83:L86)</f>
        <v>-41376</v>
      </c>
      <c r="M87" s="28"/>
      <c r="N87" s="28"/>
      <c r="Q87" s="137"/>
      <c r="R87" s="24"/>
      <c r="S87" s="25"/>
      <c r="T87" s="25"/>
      <c r="U87" s="25"/>
      <c r="V87" s="25"/>
      <c r="W87" s="25"/>
    </row>
    <row r="88" spans="1:23" s="122" customFormat="1" ht="12.75">
      <c r="A88" s="121" t="s">
        <v>89</v>
      </c>
      <c r="B88" s="48"/>
      <c r="C88" s="25"/>
      <c r="D88" s="22"/>
      <c r="E88" s="22"/>
      <c r="F88" s="22"/>
      <c r="G88" s="22"/>
      <c r="H88" s="22"/>
      <c r="I88" s="307"/>
      <c r="J88" s="307"/>
      <c r="K88" s="22"/>
      <c r="L88" s="168"/>
      <c r="M88" s="28"/>
      <c r="N88" s="28"/>
      <c r="Q88" s="137"/>
      <c r="R88" s="24"/>
      <c r="S88" s="25"/>
      <c r="T88" s="25"/>
      <c r="U88" s="25"/>
      <c r="V88" s="25"/>
      <c r="W88" s="25"/>
    </row>
    <row r="89" spans="1:23" s="122" customFormat="1" ht="12.75">
      <c r="A89" s="25"/>
      <c r="B89" s="48" t="s">
        <v>15</v>
      </c>
      <c r="C89" s="25"/>
      <c r="D89" s="57">
        <f>+H89--251</f>
        <v>-350</v>
      </c>
      <c r="E89" s="24"/>
      <c r="F89" s="24">
        <f>+J89-995</f>
        <v>-574</v>
      </c>
      <c r="G89" s="24"/>
      <c r="H89" s="57">
        <f>422-1023</f>
        <v>-601</v>
      </c>
      <c r="I89" s="305"/>
      <c r="J89" s="24">
        <v>421</v>
      </c>
      <c r="K89" s="24"/>
      <c r="L89" s="24">
        <v>-548</v>
      </c>
      <c r="M89" s="28"/>
      <c r="N89" s="23"/>
      <c r="Q89" s="137"/>
      <c r="R89" s="24"/>
      <c r="S89" s="25"/>
      <c r="T89" s="25"/>
      <c r="U89" s="25"/>
      <c r="V89" s="25"/>
      <c r="W89" s="25"/>
    </row>
    <row r="90" spans="1:23" s="122" customFormat="1" ht="12.75">
      <c r="A90" s="25"/>
      <c r="B90" s="48" t="s">
        <v>85</v>
      </c>
      <c r="C90" s="25"/>
      <c r="D90" s="62">
        <f>+H90-0</f>
        <v>0</v>
      </c>
      <c r="E90" s="53"/>
      <c r="F90" s="53">
        <f>+J90-37</f>
        <v>37</v>
      </c>
      <c r="G90" s="53"/>
      <c r="H90" s="62">
        <v>0</v>
      </c>
      <c r="I90" s="300"/>
      <c r="J90" s="53">
        <v>74</v>
      </c>
      <c r="K90" s="24"/>
      <c r="L90" s="53">
        <v>0</v>
      </c>
      <c r="M90" s="28"/>
      <c r="N90" s="28"/>
      <c r="Q90" s="137"/>
      <c r="R90" s="24"/>
      <c r="S90" s="25"/>
      <c r="T90" s="25"/>
      <c r="U90" s="25"/>
      <c r="V90" s="25"/>
      <c r="W90" s="25"/>
    </row>
    <row r="91" spans="1:23" s="122" customFormat="1" ht="12.75">
      <c r="A91" s="25"/>
      <c r="B91" s="48" t="s">
        <v>86</v>
      </c>
      <c r="C91" s="25"/>
      <c r="D91" s="62">
        <f>+H91-5</f>
        <v>16</v>
      </c>
      <c r="E91" s="53"/>
      <c r="F91" s="53">
        <f>+J91-5</f>
        <v>6</v>
      </c>
      <c r="G91" s="53"/>
      <c r="H91" s="62">
        <v>21</v>
      </c>
      <c r="I91" s="300"/>
      <c r="J91" s="53">
        <v>11</v>
      </c>
      <c r="K91" s="24"/>
      <c r="L91" s="53">
        <v>21</v>
      </c>
      <c r="M91" s="28"/>
      <c r="N91" s="28"/>
      <c r="Q91" s="137"/>
      <c r="R91" s="24"/>
      <c r="S91" s="25"/>
      <c r="T91" s="25"/>
      <c r="U91" s="25"/>
      <c r="V91" s="25"/>
      <c r="W91" s="25"/>
    </row>
    <row r="92" spans="1:23" s="122" customFormat="1" ht="12.75">
      <c r="A92" s="113"/>
      <c r="B92" s="49" t="s">
        <v>88</v>
      </c>
      <c r="C92" s="25"/>
      <c r="D92" s="103">
        <f>SUM(D89:D91)</f>
        <v>-334</v>
      </c>
      <c r="E92" s="22"/>
      <c r="F92" s="100">
        <f>SUM(F89:F91)</f>
        <v>-531</v>
      </c>
      <c r="G92" s="28"/>
      <c r="H92" s="103">
        <f>SUM(H89:H91)</f>
        <v>-580</v>
      </c>
      <c r="I92" s="307"/>
      <c r="J92" s="100">
        <f>SUM(J89:J91)</f>
        <v>506</v>
      </c>
      <c r="K92" s="28"/>
      <c r="L92" s="100">
        <f>SUM(L89:L91)</f>
        <v>-527</v>
      </c>
      <c r="M92" s="28"/>
      <c r="N92" s="28"/>
      <c r="Q92" s="137"/>
      <c r="R92" s="24"/>
      <c r="S92" s="25"/>
      <c r="T92" s="25"/>
      <c r="U92" s="25"/>
      <c r="V92" s="25"/>
      <c r="W92" s="25"/>
    </row>
    <row r="93" spans="1:23" s="122" customFormat="1" ht="12.75">
      <c r="A93" s="138" t="s">
        <v>90</v>
      </c>
      <c r="B93" s="55"/>
      <c r="C93" s="32"/>
      <c r="D93" s="28"/>
      <c r="E93" s="28"/>
      <c r="F93" s="28"/>
      <c r="G93" s="28"/>
      <c r="H93" s="28"/>
      <c r="I93" s="295"/>
      <c r="J93" s="28"/>
      <c r="K93" s="28"/>
      <c r="L93" s="168"/>
      <c r="M93" s="28"/>
      <c r="N93" s="28"/>
      <c r="Q93" s="137"/>
      <c r="R93" s="22"/>
      <c r="S93" s="25"/>
      <c r="T93" s="25"/>
      <c r="U93" s="25"/>
      <c r="V93" s="25"/>
      <c r="W93" s="25"/>
    </row>
    <row r="94" spans="1:23" s="122" customFormat="1" ht="12.75">
      <c r="A94" s="32"/>
      <c r="B94" s="48" t="s">
        <v>15</v>
      </c>
      <c r="C94" s="32"/>
      <c r="D94" s="104">
        <f>D83+D76+D89</f>
        <v>71440</v>
      </c>
      <c r="E94" s="23"/>
      <c r="F94" s="23">
        <f>F83+F76+F89</f>
        <v>154147</v>
      </c>
      <c r="G94" s="23"/>
      <c r="H94" s="104">
        <f>H83+H76+H89</f>
        <v>170730</v>
      </c>
      <c r="I94" s="309"/>
      <c r="J94" s="23">
        <f>J83+J76+J89</f>
        <v>360484</v>
      </c>
      <c r="K94" s="23"/>
      <c r="L94" s="23">
        <f>L83+L76+L89</f>
        <v>672146</v>
      </c>
      <c r="M94" s="23"/>
      <c r="N94" s="23"/>
      <c r="Q94" s="137"/>
      <c r="R94" s="22"/>
      <c r="S94" s="25"/>
      <c r="T94" s="25"/>
      <c r="U94" s="25"/>
      <c r="V94" s="25"/>
      <c r="W94" s="25"/>
    </row>
    <row r="95" spans="1:23" s="122" customFormat="1" ht="12.75" hidden="1">
      <c r="A95" s="32"/>
      <c r="B95" s="48" t="s">
        <v>65</v>
      </c>
      <c r="C95" s="32"/>
      <c r="D95" s="59">
        <f>D77</f>
        <v>0</v>
      </c>
      <c r="E95" s="28"/>
      <c r="F95" s="28">
        <f>F77</f>
        <v>0</v>
      </c>
      <c r="G95" s="28"/>
      <c r="H95" s="59">
        <f>H77</f>
        <v>0</v>
      </c>
      <c r="I95" s="295"/>
      <c r="J95" s="28">
        <f>J77</f>
        <v>0</v>
      </c>
      <c r="K95" s="28"/>
      <c r="L95" s="28">
        <f>L77</f>
        <v>0</v>
      </c>
      <c r="M95" s="28"/>
      <c r="N95" s="28"/>
      <c r="Q95" s="137"/>
      <c r="R95" s="22"/>
      <c r="S95" s="25"/>
      <c r="T95" s="25"/>
      <c r="U95" s="25"/>
      <c r="V95" s="25"/>
      <c r="W95" s="25"/>
    </row>
    <row r="96" spans="1:23" s="122" customFormat="1" ht="12.75">
      <c r="A96" s="32"/>
      <c r="B96" s="48" t="s">
        <v>84</v>
      </c>
      <c r="C96" s="32"/>
      <c r="D96" s="62">
        <f>D78+D84</f>
        <v>0</v>
      </c>
      <c r="E96" s="53"/>
      <c r="F96" s="53">
        <f>F78+F84</f>
        <v>-48221</v>
      </c>
      <c r="G96" s="53"/>
      <c r="H96" s="62">
        <f>H78+H84</f>
        <v>-538</v>
      </c>
      <c r="I96" s="300"/>
      <c r="J96" s="53">
        <f>J78+J84</f>
        <v>-98806</v>
      </c>
      <c r="K96" s="53"/>
      <c r="L96" s="53">
        <f>L78+L84</f>
        <v>-153615</v>
      </c>
      <c r="M96" s="23"/>
      <c r="N96" s="53"/>
      <c r="Q96" s="137"/>
      <c r="R96" s="22"/>
      <c r="S96" s="25"/>
      <c r="T96" s="25"/>
      <c r="U96" s="25"/>
      <c r="V96" s="25"/>
      <c r="W96" s="25"/>
    </row>
    <row r="97" spans="1:23" s="122" customFormat="1" ht="12.75">
      <c r="A97" s="32"/>
      <c r="B97" s="48" t="s">
        <v>85</v>
      </c>
      <c r="C97" s="32"/>
      <c r="D97" s="62">
        <f>D79+D85+D90</f>
        <v>-33640</v>
      </c>
      <c r="E97" s="53"/>
      <c r="F97" s="53">
        <f>F79+F85+F90</f>
        <v>-27632</v>
      </c>
      <c r="G97" s="53"/>
      <c r="H97" s="62">
        <f>H79+H85+H90</f>
        <v>-63386</v>
      </c>
      <c r="I97" s="300"/>
      <c r="J97" s="53">
        <f>J79+J85+J90</f>
        <v>-61965</v>
      </c>
      <c r="K97" s="53"/>
      <c r="L97" s="53">
        <f>L79+L85+L90</f>
        <v>-131858</v>
      </c>
      <c r="M97" s="23"/>
      <c r="N97" s="53"/>
      <c r="Q97" s="137"/>
      <c r="R97" s="22"/>
      <c r="S97" s="25"/>
      <c r="T97" s="25"/>
      <c r="U97" s="25"/>
      <c r="V97" s="25"/>
      <c r="W97" s="25"/>
    </row>
    <row r="98" spans="1:23" s="122" customFormat="1" ht="12.75">
      <c r="A98" s="32"/>
      <c r="B98" s="48" t="s">
        <v>86</v>
      </c>
      <c r="C98" s="32"/>
      <c r="D98" s="62">
        <f>D80+D86+D91</f>
        <v>-32472</v>
      </c>
      <c r="E98" s="53"/>
      <c r="F98" s="53">
        <f>F80+F86+F91</f>
        <v>-45360</v>
      </c>
      <c r="G98" s="53"/>
      <c r="H98" s="62">
        <f>H80+H86+H91</f>
        <v>-67255</v>
      </c>
      <c r="I98" s="300"/>
      <c r="J98" s="53">
        <f>J80+J86+J91</f>
        <v>-62177</v>
      </c>
      <c r="K98" s="53"/>
      <c r="L98" s="53">
        <f>L80+L86+L91</f>
        <v>-153411</v>
      </c>
      <c r="M98" s="23"/>
      <c r="N98" s="53"/>
      <c r="Q98" s="137"/>
      <c r="R98" s="22"/>
      <c r="S98" s="25"/>
      <c r="T98" s="25"/>
      <c r="U98" s="25"/>
      <c r="V98" s="25"/>
      <c r="W98" s="25"/>
    </row>
    <row r="99" spans="1:23" s="122" customFormat="1" ht="12.75">
      <c r="A99" s="113"/>
      <c r="B99" s="49" t="s">
        <v>199</v>
      </c>
      <c r="C99" s="32"/>
      <c r="D99" s="60">
        <f>SUM(D94:D98)</f>
        <v>5328</v>
      </c>
      <c r="E99" s="23"/>
      <c r="F99" s="29">
        <f>SUM(F94:F98)</f>
        <v>32934</v>
      </c>
      <c r="G99" s="30"/>
      <c r="H99" s="60">
        <f>SUM(H94:H98)</f>
        <v>39551</v>
      </c>
      <c r="I99" s="309"/>
      <c r="J99" s="29">
        <f>SUM(J94:J98)</f>
        <v>137536</v>
      </c>
      <c r="K99" s="30"/>
      <c r="L99" s="29">
        <f>SUM(L94:L98)</f>
        <v>233262</v>
      </c>
      <c r="M99" s="23"/>
      <c r="N99" s="30"/>
      <c r="Q99" s="137"/>
      <c r="R99" s="24"/>
      <c r="S99" s="25"/>
      <c r="T99" s="25"/>
      <c r="U99" s="25"/>
      <c r="V99" s="25"/>
      <c r="W99" s="25"/>
    </row>
    <row r="100" spans="1:23" s="122" customFormat="1" ht="12.75">
      <c r="A100" s="139" t="s">
        <v>4</v>
      </c>
      <c r="B100" s="55" t="s">
        <v>91</v>
      </c>
      <c r="C100" s="32"/>
      <c r="D100" s="30"/>
      <c r="E100" s="23"/>
      <c r="F100" s="30"/>
      <c r="G100" s="30"/>
      <c r="H100" s="30"/>
      <c r="I100" s="30"/>
      <c r="J100" s="30"/>
      <c r="K100" s="30"/>
      <c r="L100" s="30"/>
      <c r="M100" s="23"/>
      <c r="N100" s="88"/>
      <c r="Q100" s="137"/>
      <c r="R100" s="24"/>
      <c r="S100" s="25"/>
      <c r="T100" s="25"/>
      <c r="U100" s="25"/>
      <c r="V100" s="25"/>
      <c r="W100" s="25"/>
    </row>
    <row r="101" spans="1:25" s="122" customFormat="1" ht="12.75">
      <c r="A101" s="139"/>
      <c r="B101" s="55"/>
      <c r="C101" s="32"/>
      <c r="D101" s="30"/>
      <c r="E101" s="23"/>
      <c r="F101" s="30"/>
      <c r="G101" s="30"/>
      <c r="H101" s="30"/>
      <c r="I101" s="30"/>
      <c r="J101" s="30"/>
      <c r="K101" s="30"/>
      <c r="L101" s="30"/>
      <c r="M101" s="30"/>
      <c r="N101" s="30"/>
      <c r="O101" s="23"/>
      <c r="P101" s="88"/>
      <c r="S101" s="137"/>
      <c r="T101" s="24"/>
      <c r="U101" s="25"/>
      <c r="V101" s="25"/>
      <c r="W101" s="25"/>
      <c r="X101" s="25"/>
      <c r="Y101" s="25"/>
    </row>
    <row r="102" spans="1:21" ht="12.75">
      <c r="A102" s="5"/>
      <c r="B102" s="32"/>
      <c r="C102" s="92"/>
      <c r="D102" s="91"/>
      <c r="E102" s="93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30"/>
      <c r="R102" s="122"/>
      <c r="S102" s="122"/>
      <c r="T102" s="25"/>
      <c r="U102" s="77"/>
    </row>
    <row r="103" spans="1:21" ht="15">
      <c r="A103" s="39" t="s">
        <v>120</v>
      </c>
      <c r="B103" s="25"/>
      <c r="C103" s="32"/>
      <c r="D103" s="25"/>
      <c r="E103" s="25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30"/>
      <c r="R103" s="122"/>
      <c r="S103" s="122"/>
      <c r="T103" s="25"/>
      <c r="U103" s="77"/>
    </row>
    <row r="104" spans="1:21" ht="13.5" thickBot="1">
      <c r="A104" s="38" t="s">
        <v>58</v>
      </c>
      <c r="B104" s="38"/>
      <c r="C104" s="38"/>
      <c r="D104" s="38"/>
      <c r="E104" s="38"/>
      <c r="F104" s="124"/>
      <c r="G104" s="124"/>
      <c r="H104" s="124"/>
      <c r="I104" s="124"/>
      <c r="J104" s="124"/>
      <c r="K104" s="124"/>
      <c r="L104" s="124"/>
      <c r="M104" s="91"/>
      <c r="N104" s="91"/>
      <c r="O104" s="91"/>
      <c r="P104" s="91"/>
      <c r="Q104" s="30"/>
      <c r="R104" s="122"/>
      <c r="S104" s="122"/>
      <c r="T104" s="25"/>
      <c r="U104" s="77"/>
    </row>
    <row r="105" spans="1:21" ht="12.75">
      <c r="A105" s="32"/>
      <c r="B105" s="32"/>
      <c r="C105" s="25"/>
      <c r="D105" s="322" t="s">
        <v>8</v>
      </c>
      <c r="E105" s="322"/>
      <c r="F105" s="322"/>
      <c r="G105" s="66"/>
      <c r="H105" s="317" t="s">
        <v>261</v>
      </c>
      <c r="I105" s="317"/>
      <c r="J105" s="317"/>
      <c r="K105" s="125"/>
      <c r="L105" s="1" t="s">
        <v>37</v>
      </c>
      <c r="M105" s="1"/>
      <c r="N105" s="1"/>
      <c r="O105" s="66"/>
      <c r="P105" s="1"/>
      <c r="Q105" s="30"/>
      <c r="R105" s="122"/>
      <c r="S105" s="122"/>
      <c r="T105" s="25"/>
      <c r="U105" s="77"/>
    </row>
    <row r="106" spans="1:21" ht="12.75">
      <c r="A106" s="25"/>
      <c r="B106" s="25"/>
      <c r="C106" s="25"/>
      <c r="D106" s="318" t="s">
        <v>262</v>
      </c>
      <c r="E106" s="318"/>
      <c r="F106" s="318"/>
      <c r="G106" s="1"/>
      <c r="H106" s="316" t="s">
        <v>262</v>
      </c>
      <c r="I106" s="316"/>
      <c r="J106" s="316"/>
      <c r="K106" s="67"/>
      <c r="L106" s="1" t="s">
        <v>6</v>
      </c>
      <c r="M106" s="1"/>
      <c r="N106" s="1"/>
      <c r="O106" s="1"/>
      <c r="P106" s="1"/>
      <c r="Q106" s="30"/>
      <c r="R106" s="122"/>
      <c r="S106" s="122"/>
      <c r="T106" s="25"/>
      <c r="U106" s="77"/>
    </row>
    <row r="107" spans="1:19" ht="12.75">
      <c r="A107" s="47" t="s">
        <v>7</v>
      </c>
      <c r="B107" s="47"/>
      <c r="C107" s="25"/>
      <c r="D107" s="56">
        <v>2010</v>
      </c>
      <c r="E107" s="129"/>
      <c r="F107" s="26">
        <v>2009</v>
      </c>
      <c r="G107" s="68"/>
      <c r="H107" s="290">
        <v>2010</v>
      </c>
      <c r="I107" s="129"/>
      <c r="J107" s="299">
        <v>2009</v>
      </c>
      <c r="K107" s="68"/>
      <c r="L107" s="272">
        <v>2009</v>
      </c>
      <c r="M107" s="68"/>
      <c r="N107" s="84"/>
      <c r="O107" s="30"/>
      <c r="P107" s="122"/>
      <c r="Q107" s="122"/>
      <c r="R107" s="25"/>
      <c r="S107" s="77"/>
    </row>
    <row r="108" spans="1:21" ht="12.75">
      <c r="A108" s="64"/>
      <c r="B108" s="64"/>
      <c r="C108" s="122"/>
      <c r="D108" s="315" t="s">
        <v>5</v>
      </c>
      <c r="E108" s="315"/>
      <c r="F108" s="315"/>
      <c r="G108" s="315"/>
      <c r="H108" s="315"/>
      <c r="I108" s="315"/>
      <c r="J108" s="315"/>
      <c r="K108" s="315"/>
      <c r="L108" s="315"/>
      <c r="M108" s="215"/>
      <c r="N108" s="215"/>
      <c r="O108" s="215"/>
      <c r="P108" s="215"/>
      <c r="Q108" s="30"/>
      <c r="R108" s="122"/>
      <c r="S108" s="122"/>
      <c r="T108" s="25"/>
      <c r="U108" s="77"/>
    </row>
    <row r="109" spans="1:19" ht="12.75">
      <c r="A109" s="25"/>
      <c r="B109" s="25" t="s">
        <v>59</v>
      </c>
      <c r="C109" s="28"/>
      <c r="D109" s="57">
        <f>+H109-7992</f>
        <v>9397</v>
      </c>
      <c r="E109" s="14"/>
      <c r="F109" s="24">
        <f>+J109-6939</f>
        <v>8812</v>
      </c>
      <c r="G109" s="24"/>
      <c r="H109" s="57">
        <v>17389</v>
      </c>
      <c r="I109" s="269"/>
      <c r="J109" s="24">
        <v>15751</v>
      </c>
      <c r="K109" s="24"/>
      <c r="L109" s="24">
        <v>31555</v>
      </c>
      <c r="M109" s="24"/>
      <c r="N109" s="23"/>
      <c r="O109" s="30"/>
      <c r="P109" s="122"/>
      <c r="Q109" s="122"/>
      <c r="R109" s="25"/>
      <c r="S109" s="77"/>
    </row>
    <row r="110" spans="1:19" ht="12.75">
      <c r="A110" s="25"/>
      <c r="B110" s="25" t="s">
        <v>60</v>
      </c>
      <c r="C110" s="22"/>
      <c r="D110" s="58">
        <f>+H110--2473</f>
        <v>-3644</v>
      </c>
      <c r="E110" s="16"/>
      <c r="F110" s="22">
        <f>+J110--899</f>
        <v>-1863</v>
      </c>
      <c r="G110" s="22"/>
      <c r="H110" s="58">
        <v>-6117</v>
      </c>
      <c r="I110" s="292"/>
      <c r="J110" s="22">
        <v>-2762</v>
      </c>
      <c r="K110" s="22"/>
      <c r="L110" s="22">
        <v>-8749</v>
      </c>
      <c r="M110" s="28"/>
      <c r="N110" s="28"/>
      <c r="O110" s="30"/>
      <c r="P110" s="122"/>
      <c r="Q110" s="122"/>
      <c r="R110" s="25"/>
      <c r="S110" s="77"/>
    </row>
    <row r="111" spans="1:19" ht="12.75">
      <c r="A111" s="113"/>
      <c r="B111" s="113" t="s">
        <v>0</v>
      </c>
      <c r="C111" s="122"/>
      <c r="D111" s="60">
        <f>SUM(D109:D110)</f>
        <v>5753</v>
      </c>
      <c r="E111" s="16"/>
      <c r="F111" s="29">
        <f>SUM(F109:F110)</f>
        <v>6949</v>
      </c>
      <c r="G111" s="29"/>
      <c r="H111" s="60">
        <f>SUM(H109:H110)</f>
        <v>11272</v>
      </c>
      <c r="I111" s="292"/>
      <c r="J111" s="29">
        <f>SUM(J109:J110)</f>
        <v>12989</v>
      </c>
      <c r="K111" s="29"/>
      <c r="L111" s="29">
        <f>SUM(L109:L110)</f>
        <v>22806</v>
      </c>
      <c r="M111" s="30"/>
      <c r="N111" s="30"/>
      <c r="O111" s="30"/>
      <c r="P111" s="122"/>
      <c r="Q111" s="122"/>
      <c r="R111" s="25"/>
      <c r="S111" s="77"/>
    </row>
    <row r="112" spans="1:19" ht="12.75">
      <c r="A112" s="5"/>
      <c r="B112" s="32"/>
      <c r="C112" s="92"/>
      <c r="D112" s="91"/>
      <c r="E112" s="93"/>
      <c r="F112" s="91"/>
      <c r="G112" s="91"/>
      <c r="H112" s="91"/>
      <c r="I112" s="91"/>
      <c r="J112" s="91"/>
      <c r="K112" s="91"/>
      <c r="L112" s="91"/>
      <c r="M112" s="91"/>
      <c r="N112" s="91"/>
      <c r="O112" s="30"/>
      <c r="P112" s="122"/>
      <c r="Q112" s="122"/>
      <c r="R112" s="25"/>
      <c r="S112" s="77"/>
    </row>
    <row r="113" spans="1:21" ht="12.75">
      <c r="A113" s="109"/>
      <c r="B113" s="109"/>
      <c r="C113" s="5"/>
      <c r="D113" s="91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T113" s="17"/>
      <c r="U113" s="77"/>
    </row>
    <row r="114" spans="1:20" ht="15">
      <c r="A114" s="8" t="s">
        <v>121</v>
      </c>
      <c r="D114" s="3"/>
      <c r="T114" s="3"/>
    </row>
    <row r="115" spans="1:21" ht="13.5" thickBot="1">
      <c r="A115" s="6" t="s">
        <v>16</v>
      </c>
      <c r="B115" s="6"/>
      <c r="C115" s="6"/>
      <c r="D115" s="7"/>
      <c r="E115" s="6"/>
      <c r="F115" s="6"/>
      <c r="G115" s="6"/>
      <c r="H115" s="6"/>
      <c r="I115" s="6"/>
      <c r="J115" s="6"/>
      <c r="K115" s="6"/>
      <c r="L115" s="6"/>
      <c r="M115" s="5"/>
      <c r="N115" s="5"/>
      <c r="O115" s="5"/>
      <c r="P115" s="5"/>
      <c r="U115" s="5"/>
    </row>
    <row r="116" spans="1:21" ht="12.75">
      <c r="A116" s="5"/>
      <c r="B116" s="5"/>
      <c r="C116" s="5"/>
      <c r="D116" s="322" t="s">
        <v>8</v>
      </c>
      <c r="E116" s="322"/>
      <c r="F116" s="322"/>
      <c r="G116" s="66"/>
      <c r="H116" s="317" t="s">
        <v>261</v>
      </c>
      <c r="I116" s="317"/>
      <c r="J116" s="317"/>
      <c r="K116" s="125"/>
      <c r="L116" s="1" t="s">
        <v>37</v>
      </c>
      <c r="M116" s="1"/>
      <c r="N116" s="1"/>
      <c r="O116" s="66"/>
      <c r="P116" s="1"/>
      <c r="Q116" s="67"/>
      <c r="R116" s="67"/>
      <c r="U116" s="66"/>
    </row>
    <row r="117" spans="4:21" ht="12.75">
      <c r="D117" s="318" t="s">
        <v>262</v>
      </c>
      <c r="E117" s="318"/>
      <c r="F117" s="318"/>
      <c r="G117" s="1"/>
      <c r="H117" s="316" t="s">
        <v>262</v>
      </c>
      <c r="I117" s="316"/>
      <c r="J117" s="316"/>
      <c r="K117" s="67"/>
      <c r="L117" s="1" t="s">
        <v>6</v>
      </c>
      <c r="M117" s="1"/>
      <c r="N117" s="1"/>
      <c r="O117" s="1"/>
      <c r="P117" s="1"/>
      <c r="Q117" s="67"/>
      <c r="R117" s="67"/>
      <c r="U117" s="1"/>
    </row>
    <row r="118" spans="1:19" ht="12.75">
      <c r="A118" s="13" t="s">
        <v>7</v>
      </c>
      <c r="B118" s="12"/>
      <c r="D118" s="56">
        <v>2010</v>
      </c>
      <c r="E118" s="129"/>
      <c r="F118" s="26">
        <v>2009</v>
      </c>
      <c r="G118" s="68"/>
      <c r="H118" s="290">
        <v>2010</v>
      </c>
      <c r="I118" s="129"/>
      <c r="J118" s="299">
        <v>2009</v>
      </c>
      <c r="K118" s="68"/>
      <c r="L118" s="272">
        <v>2009</v>
      </c>
      <c r="M118" s="68"/>
      <c r="N118" s="84"/>
      <c r="O118" s="84"/>
      <c r="P118" s="84"/>
      <c r="S118" s="77"/>
    </row>
    <row r="119" spans="1:16" ht="12.75">
      <c r="A119" s="65"/>
      <c r="B119" s="5"/>
      <c r="D119" s="321" t="s">
        <v>5</v>
      </c>
      <c r="E119" s="321"/>
      <c r="F119" s="321"/>
      <c r="G119" s="321"/>
      <c r="H119" s="321"/>
      <c r="I119" s="321"/>
      <c r="J119" s="321"/>
      <c r="K119" s="321"/>
      <c r="L119" s="321"/>
      <c r="M119" s="274"/>
      <c r="N119" s="274"/>
      <c r="O119" s="214"/>
      <c r="P119" s="214"/>
    </row>
    <row r="120" spans="1:19" ht="12.75">
      <c r="A120" s="2"/>
      <c r="B120" s="2" t="s">
        <v>9</v>
      </c>
      <c r="C120" s="2"/>
      <c r="D120" s="57">
        <f>+H120-(38933+1270)</f>
        <v>41642</v>
      </c>
      <c r="E120" s="14"/>
      <c r="F120" s="24">
        <f>+J120-(36433+1066)</f>
        <v>35866</v>
      </c>
      <c r="G120" s="24"/>
      <c r="H120" s="57">
        <f>79864+1981</f>
        <v>81845</v>
      </c>
      <c r="I120" s="269"/>
      <c r="J120" s="24">
        <f>71606+1759</f>
        <v>73365</v>
      </c>
      <c r="K120" s="14"/>
      <c r="L120" s="24">
        <f>128252+3606+24781</f>
        <v>156639</v>
      </c>
      <c r="M120" s="14"/>
      <c r="N120" s="23"/>
      <c r="S120" s="77"/>
    </row>
    <row r="121" spans="1:19" ht="12.75">
      <c r="A121" s="2"/>
      <c r="B121" s="2" t="s">
        <v>200</v>
      </c>
      <c r="C121" s="2"/>
      <c r="D121" s="58">
        <f>+H121--10457</f>
        <v>-8002</v>
      </c>
      <c r="E121" s="16"/>
      <c r="F121" s="22">
        <f>+J121--3166</f>
        <v>-8234</v>
      </c>
      <c r="G121" s="22"/>
      <c r="H121" s="58">
        <v>-18459</v>
      </c>
      <c r="I121" s="292"/>
      <c r="J121" s="22">
        <v>-11400</v>
      </c>
      <c r="K121" s="22"/>
      <c r="L121" s="22">
        <v>-24781</v>
      </c>
      <c r="M121" s="16"/>
      <c r="N121" s="28"/>
      <c r="S121" s="77"/>
    </row>
    <row r="122" spans="1:19" ht="12.75">
      <c r="A122" s="2"/>
      <c r="B122" s="2" t="s">
        <v>102</v>
      </c>
      <c r="C122" s="2"/>
      <c r="D122" s="58">
        <f>+H122-(2911+31872)</f>
        <v>32472</v>
      </c>
      <c r="E122" s="16"/>
      <c r="F122" s="22">
        <f>+J122-(722+1868+14227)</f>
        <v>45360</v>
      </c>
      <c r="G122" s="22"/>
      <c r="H122" s="58">
        <f>998+5938+60319</f>
        <v>67255</v>
      </c>
      <c r="I122" s="292"/>
      <c r="J122" s="22">
        <f>57718+3737+722</f>
        <v>62177</v>
      </c>
      <c r="K122" s="16"/>
      <c r="L122" s="22">
        <f>14604+10138+128669</f>
        <v>153411</v>
      </c>
      <c r="M122" s="16"/>
      <c r="N122" s="28"/>
      <c r="S122" s="77"/>
    </row>
    <row r="123" spans="1:19" ht="12.75">
      <c r="A123" s="4"/>
      <c r="B123" s="4" t="s">
        <v>0</v>
      </c>
      <c r="C123" s="2"/>
      <c r="D123" s="60">
        <f>SUM(D120:D122)</f>
        <v>66112</v>
      </c>
      <c r="E123" s="16"/>
      <c r="F123" s="29">
        <f>SUM(F120:F122)</f>
        <v>72992</v>
      </c>
      <c r="G123" s="30"/>
      <c r="H123" s="60">
        <f>SUM(H120:H122)</f>
        <v>130641</v>
      </c>
      <c r="I123" s="292"/>
      <c r="J123" s="29">
        <f>SUM(J120:J122)</f>
        <v>124142</v>
      </c>
      <c r="K123" s="31"/>
      <c r="L123" s="29">
        <f>SUM(L120:L122)</f>
        <v>285269</v>
      </c>
      <c r="M123" s="31"/>
      <c r="N123" s="30"/>
      <c r="S123" s="77"/>
    </row>
    <row r="124" spans="4:21" ht="12.75"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U124" s="16"/>
    </row>
    <row r="125" spans="1:21" ht="18" customHeight="1">
      <c r="A125" s="240" t="s">
        <v>201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U125" s="16"/>
    </row>
    <row r="126" spans="1:21" ht="12.75">
      <c r="A126" s="230" t="s">
        <v>184</v>
      </c>
      <c r="D126" s="16"/>
      <c r="E126" s="16"/>
      <c r="F126" s="231"/>
      <c r="G126" s="231"/>
      <c r="H126" s="231"/>
      <c r="I126" s="231"/>
      <c r="J126" s="231"/>
      <c r="K126" s="16"/>
      <c r="L126" s="16"/>
      <c r="M126" s="16"/>
      <c r="N126" s="16"/>
      <c r="O126" s="16"/>
      <c r="P126" s="16"/>
      <c r="U126" s="16"/>
    </row>
    <row r="127" spans="1:21" ht="12.75">
      <c r="A127" s="231" t="s">
        <v>185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U127" s="16"/>
    </row>
    <row r="128" spans="1:21" ht="12.75">
      <c r="A128" s="230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U128" s="16"/>
    </row>
    <row r="129" spans="1:21" ht="12.75">
      <c r="A129" s="231" t="s">
        <v>186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U129" s="16"/>
    </row>
    <row r="130" spans="1:21" ht="12.75">
      <c r="A130" s="238" t="s">
        <v>202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U130" s="16"/>
    </row>
    <row r="131" spans="1:21" ht="12.75">
      <c r="A131" s="238" t="s">
        <v>195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U131" s="16"/>
    </row>
    <row r="132" spans="1:21" ht="12.75">
      <c r="A132" s="238" t="s">
        <v>197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U132" s="16"/>
    </row>
    <row r="133" spans="1:21" ht="12.75">
      <c r="A133" s="230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U133" s="16"/>
    </row>
    <row r="134" spans="1:18" ht="15">
      <c r="A134" s="37" t="s">
        <v>123</v>
      </c>
      <c r="D134" s="94"/>
      <c r="E134" s="16"/>
      <c r="F134" s="16"/>
      <c r="G134" s="16"/>
      <c r="H134" s="16"/>
      <c r="I134" s="16"/>
      <c r="J134" s="16"/>
      <c r="K134" s="16"/>
      <c r="L134" s="16"/>
      <c r="M134" s="28"/>
      <c r="N134" s="28"/>
      <c r="O134" s="28"/>
      <c r="P134" s="28"/>
      <c r="Q134" s="28"/>
      <c r="R134" s="28"/>
    </row>
    <row r="135" spans="1:18" ht="13.5" thickBot="1">
      <c r="A135" s="6" t="s">
        <v>124</v>
      </c>
      <c r="B135" s="6"/>
      <c r="C135" s="6"/>
      <c r="D135" s="20"/>
      <c r="E135" s="20"/>
      <c r="F135" s="20"/>
      <c r="G135" s="20"/>
      <c r="H135" s="20"/>
      <c r="I135" s="20"/>
      <c r="J135" s="20"/>
      <c r="K135" s="20"/>
      <c r="L135" s="20"/>
      <c r="M135" s="28"/>
      <c r="N135" s="28"/>
      <c r="O135" s="28"/>
      <c r="P135" s="28"/>
      <c r="Q135" s="28"/>
      <c r="R135" s="28"/>
    </row>
    <row r="136" spans="4:18" ht="12.75">
      <c r="D136" s="322" t="s">
        <v>8</v>
      </c>
      <c r="E136" s="322"/>
      <c r="F136" s="322"/>
      <c r="G136" s="66"/>
      <c r="H136" s="317" t="s">
        <v>261</v>
      </c>
      <c r="I136" s="317"/>
      <c r="J136" s="317"/>
      <c r="K136" s="125"/>
      <c r="L136" s="28" t="s">
        <v>37</v>
      </c>
      <c r="M136" s="28"/>
      <c r="N136" s="28"/>
      <c r="O136" s="28"/>
      <c r="P136" s="66"/>
      <c r="Q136" s="28"/>
      <c r="R136" s="28"/>
    </row>
    <row r="137" spans="4:18" ht="12.75">
      <c r="D137" s="318" t="s">
        <v>262</v>
      </c>
      <c r="E137" s="318"/>
      <c r="F137" s="318"/>
      <c r="G137" s="1"/>
      <c r="H137" s="316" t="s">
        <v>262</v>
      </c>
      <c r="I137" s="316"/>
      <c r="J137" s="316"/>
      <c r="K137" s="67"/>
      <c r="L137" s="28" t="s">
        <v>6</v>
      </c>
      <c r="M137" s="28"/>
      <c r="N137" s="28"/>
      <c r="O137" s="28"/>
      <c r="P137" s="1"/>
      <c r="Q137" s="28"/>
      <c r="R137" s="28"/>
    </row>
    <row r="138" spans="1:16" ht="12.75">
      <c r="A138" s="13" t="s">
        <v>7</v>
      </c>
      <c r="B138" s="12"/>
      <c r="D138" s="56">
        <v>2010</v>
      </c>
      <c r="E138" s="129"/>
      <c r="F138" s="26">
        <v>2009</v>
      </c>
      <c r="G138" s="68"/>
      <c r="H138" s="290">
        <v>2010</v>
      </c>
      <c r="I138" s="129"/>
      <c r="J138" s="299">
        <v>2009</v>
      </c>
      <c r="K138" s="68"/>
      <c r="L138" s="56">
        <v>2009</v>
      </c>
      <c r="M138" s="28"/>
      <c r="N138" s="84"/>
      <c r="O138" s="28"/>
      <c r="P138" s="28"/>
    </row>
    <row r="139" spans="1:18" ht="12.75">
      <c r="A139" s="65"/>
      <c r="B139" s="5"/>
      <c r="D139" s="323" t="s">
        <v>5</v>
      </c>
      <c r="E139" s="323"/>
      <c r="F139" s="323"/>
      <c r="G139" s="323"/>
      <c r="H139" s="323"/>
      <c r="I139" s="323"/>
      <c r="J139" s="323"/>
      <c r="K139" s="323"/>
      <c r="L139" s="323"/>
      <c r="M139" s="276"/>
      <c r="N139" s="276"/>
      <c r="O139" s="217"/>
      <c r="P139" s="217"/>
      <c r="Q139" s="28"/>
      <c r="R139" s="28"/>
    </row>
    <row r="140" spans="1:16" ht="12.75">
      <c r="A140" s="2"/>
      <c r="B140" s="2" t="s">
        <v>125</v>
      </c>
      <c r="C140" s="2"/>
      <c r="D140" s="57">
        <f>+H140-538</f>
        <v>0</v>
      </c>
      <c r="E140" s="24"/>
      <c r="F140" s="24">
        <f>+J140-50585</f>
        <v>48221</v>
      </c>
      <c r="G140" s="24"/>
      <c r="H140" s="57">
        <v>538</v>
      </c>
      <c r="I140" s="305"/>
      <c r="J140" s="24">
        <f>50668+48138</f>
        <v>98806</v>
      </c>
      <c r="K140" s="24"/>
      <c r="L140" s="57">
        <f>48138+105086+391</f>
        <v>153615</v>
      </c>
      <c r="M140" s="28"/>
      <c r="N140" s="23"/>
      <c r="O140" s="28"/>
      <c r="P140" s="295"/>
    </row>
    <row r="141" spans="1:16" ht="12.75" hidden="1">
      <c r="A141" s="2"/>
      <c r="B141" s="2" t="s">
        <v>126</v>
      </c>
      <c r="C141" s="2"/>
      <c r="D141" s="58">
        <f>L141-0</f>
        <v>0</v>
      </c>
      <c r="E141" s="24"/>
      <c r="F141" s="45">
        <v>0</v>
      </c>
      <c r="G141" s="45"/>
      <c r="H141" s="58">
        <f>P141-0</f>
        <v>0</v>
      </c>
      <c r="I141" s="24"/>
      <c r="J141" s="45">
        <v>0</v>
      </c>
      <c r="K141" s="24"/>
      <c r="L141" s="61">
        <v>0</v>
      </c>
      <c r="M141" s="28"/>
      <c r="N141" s="28"/>
      <c r="O141" s="28"/>
      <c r="P141" s="28"/>
    </row>
    <row r="142" spans="1:16" ht="12.75" hidden="1">
      <c r="A142" s="2"/>
      <c r="B142" s="2" t="s">
        <v>127</v>
      </c>
      <c r="C142" s="2"/>
      <c r="D142" s="58">
        <f>L142-0</f>
        <v>0</v>
      </c>
      <c r="E142" s="22"/>
      <c r="F142" s="22">
        <v>0</v>
      </c>
      <c r="G142" s="22"/>
      <c r="H142" s="58">
        <f>P142-0</f>
        <v>0</v>
      </c>
      <c r="I142" s="22"/>
      <c r="J142" s="22">
        <v>0</v>
      </c>
      <c r="K142" s="22"/>
      <c r="L142" s="58">
        <v>0</v>
      </c>
      <c r="M142" s="28"/>
      <c r="N142" s="28"/>
      <c r="O142" s="28"/>
      <c r="P142" s="28"/>
    </row>
    <row r="143" spans="1:16" ht="12.75">
      <c r="A143" s="4"/>
      <c r="B143" s="4" t="s">
        <v>0</v>
      </c>
      <c r="C143" s="2"/>
      <c r="D143" s="60">
        <f>SUM(D140:D142)</f>
        <v>0</v>
      </c>
      <c r="E143" s="22"/>
      <c r="F143" s="29">
        <f>SUM(F140:F142)</f>
        <v>48221</v>
      </c>
      <c r="G143" s="30"/>
      <c r="H143" s="60">
        <f>SUM(H140:H142)</f>
        <v>538</v>
      </c>
      <c r="I143" s="22"/>
      <c r="J143" s="29">
        <f>SUM(J140:J142)</f>
        <v>98806</v>
      </c>
      <c r="K143" s="30"/>
      <c r="L143" s="60">
        <f>SUM(L140:L142)</f>
        <v>153615</v>
      </c>
      <c r="M143" s="28"/>
      <c r="N143" s="30"/>
      <c r="O143" s="28"/>
      <c r="P143" s="28"/>
    </row>
    <row r="144" spans="1:18" ht="12.75">
      <c r="A144" s="32"/>
      <c r="B144" s="32"/>
      <c r="C144" s="32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</row>
    <row r="145" spans="1:18" ht="12.75">
      <c r="A145" s="32"/>
      <c r="B145" s="32"/>
      <c r="C145" s="32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</row>
    <row r="146" spans="1:21" ht="15">
      <c r="A146" s="37" t="s">
        <v>122</v>
      </c>
      <c r="B146" s="25"/>
      <c r="C146" s="25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5"/>
      <c r="U146" s="22"/>
    </row>
    <row r="147" spans="1:21" ht="13.5" thickBot="1">
      <c r="A147" s="6" t="s">
        <v>17</v>
      </c>
      <c r="B147" s="6"/>
      <c r="C147" s="6"/>
      <c r="D147" s="20"/>
      <c r="E147" s="20"/>
      <c r="F147" s="20"/>
      <c r="G147" s="20"/>
      <c r="H147" s="20"/>
      <c r="I147" s="20"/>
      <c r="J147" s="20"/>
      <c r="K147" s="20"/>
      <c r="L147" s="20"/>
      <c r="M147" s="28"/>
      <c r="N147" s="28"/>
      <c r="O147" s="18"/>
      <c r="P147" s="18"/>
      <c r="U147" s="18"/>
    </row>
    <row r="148" spans="4:21" ht="12.75">
      <c r="D148" s="322" t="s">
        <v>8</v>
      </c>
      <c r="E148" s="322"/>
      <c r="F148" s="322"/>
      <c r="G148" s="66"/>
      <c r="H148" s="317" t="s">
        <v>261</v>
      </c>
      <c r="I148" s="317"/>
      <c r="J148" s="317"/>
      <c r="K148" s="125"/>
      <c r="L148" s="28" t="s">
        <v>37</v>
      </c>
      <c r="M148" s="216"/>
      <c r="N148" s="216"/>
      <c r="O148" s="66"/>
      <c r="P148" s="1"/>
      <c r="Q148" s="67"/>
      <c r="R148" s="67"/>
      <c r="U148" s="66"/>
    </row>
    <row r="149" spans="4:21" ht="12.75">
      <c r="D149" s="318" t="s">
        <v>262</v>
      </c>
      <c r="E149" s="318"/>
      <c r="F149" s="318"/>
      <c r="G149" s="1"/>
      <c r="H149" s="316" t="s">
        <v>262</v>
      </c>
      <c r="I149" s="316"/>
      <c r="J149" s="316"/>
      <c r="K149" s="67"/>
      <c r="L149" s="28" t="s">
        <v>6</v>
      </c>
      <c r="M149" s="216"/>
      <c r="N149" s="216"/>
      <c r="O149" s="1"/>
      <c r="P149" s="1"/>
      <c r="Q149" s="67"/>
      <c r="R149" s="67"/>
      <c r="U149" s="1"/>
    </row>
    <row r="150" spans="1:19" ht="12.75">
      <c r="A150" s="13" t="s">
        <v>7</v>
      </c>
      <c r="B150" s="12"/>
      <c r="D150" s="56">
        <v>2010</v>
      </c>
      <c r="E150" s="129"/>
      <c r="F150" s="26">
        <v>2009</v>
      </c>
      <c r="G150" s="68"/>
      <c r="H150" s="290">
        <v>2010</v>
      </c>
      <c r="I150" s="129"/>
      <c r="J150" s="299">
        <v>2009</v>
      </c>
      <c r="K150" s="68"/>
      <c r="L150" s="272">
        <v>2009</v>
      </c>
      <c r="M150" s="68"/>
      <c r="N150" s="84"/>
      <c r="O150" s="84"/>
      <c r="P150" s="84"/>
      <c r="S150" s="77"/>
    </row>
    <row r="151" spans="1:18" ht="12.75">
      <c r="A151" s="65"/>
      <c r="B151" s="5"/>
      <c r="D151" s="321" t="s">
        <v>5</v>
      </c>
      <c r="E151" s="321"/>
      <c r="F151" s="321"/>
      <c r="G151" s="321"/>
      <c r="H151" s="321"/>
      <c r="I151" s="321"/>
      <c r="J151" s="321"/>
      <c r="K151" s="321"/>
      <c r="L151" s="321"/>
      <c r="M151" s="274"/>
      <c r="N151" s="274"/>
      <c r="O151" s="214"/>
      <c r="P151" s="214"/>
      <c r="Q151" s="321"/>
      <c r="R151" s="321"/>
    </row>
    <row r="152" spans="1:19" ht="12.75">
      <c r="A152" s="2"/>
      <c r="B152" s="2" t="s">
        <v>18</v>
      </c>
      <c r="C152" s="2"/>
      <c r="D152" s="57">
        <f>+H152--15057</f>
        <v>-14370</v>
      </c>
      <c r="E152" s="14"/>
      <c r="F152" s="24">
        <f>+J152--19600</f>
        <v>-18885</v>
      </c>
      <c r="G152" s="24"/>
      <c r="H152" s="57">
        <v>-29427</v>
      </c>
      <c r="I152" s="269"/>
      <c r="J152" s="24">
        <v>-38485</v>
      </c>
      <c r="K152" s="24"/>
      <c r="L152" s="24">
        <f>-70169-303</f>
        <v>-70472</v>
      </c>
      <c r="M152" s="17"/>
      <c r="N152" s="23"/>
      <c r="S152" s="77"/>
    </row>
    <row r="153" spans="1:19" ht="12.75">
      <c r="A153" s="2"/>
      <c r="B153" s="2" t="s">
        <v>36</v>
      </c>
      <c r="C153" s="2"/>
      <c r="D153" s="58">
        <f>+H153-903</f>
        <v>1265</v>
      </c>
      <c r="E153" s="16"/>
      <c r="F153" s="22">
        <f>+J153-1532</f>
        <v>1857</v>
      </c>
      <c r="G153" s="22"/>
      <c r="H153" s="58">
        <v>2168</v>
      </c>
      <c r="I153" s="292"/>
      <c r="J153" s="22">
        <v>3389</v>
      </c>
      <c r="K153" s="16"/>
      <c r="L153" s="22">
        <v>6000</v>
      </c>
      <c r="M153" s="18"/>
      <c r="N153" s="28"/>
      <c r="S153" s="77"/>
    </row>
    <row r="154" spans="1:19" ht="12.75">
      <c r="A154" s="2"/>
      <c r="B154" s="2" t="s">
        <v>32</v>
      </c>
      <c r="C154" s="2"/>
      <c r="D154" s="58">
        <f>+H154-1755</f>
        <v>780</v>
      </c>
      <c r="E154" s="16"/>
      <c r="F154" s="22">
        <f>+J154-7049</f>
        <v>7280</v>
      </c>
      <c r="G154" s="22"/>
      <c r="H154" s="58">
        <v>2535</v>
      </c>
      <c r="I154" s="292"/>
      <c r="J154" s="22">
        <v>14329</v>
      </c>
      <c r="K154" s="16"/>
      <c r="L154" s="22">
        <f>18324+916</f>
        <v>19240</v>
      </c>
      <c r="M154" s="18"/>
      <c r="N154" s="28"/>
      <c r="S154" s="77"/>
    </row>
    <row r="155" spans="1:19" ht="12.75">
      <c r="A155" s="4"/>
      <c r="B155" s="4" t="s">
        <v>0</v>
      </c>
      <c r="C155" s="2"/>
      <c r="D155" s="60">
        <f>SUM(D152:D154)</f>
        <v>-12325</v>
      </c>
      <c r="E155" s="16"/>
      <c r="F155" s="29">
        <f>SUM(F152:F154)</f>
        <v>-9748</v>
      </c>
      <c r="G155" s="30"/>
      <c r="H155" s="60">
        <f>SUM(H152:H154)</f>
        <v>-24724</v>
      </c>
      <c r="I155" s="16"/>
      <c r="J155" s="29">
        <f>SUM(J152:J154)</f>
        <v>-20767</v>
      </c>
      <c r="K155" s="31"/>
      <c r="L155" s="29">
        <f>SUM(L152:L154)</f>
        <v>-45232</v>
      </c>
      <c r="M155" s="31"/>
      <c r="N155" s="30"/>
      <c r="S155" s="77"/>
    </row>
    <row r="156" spans="1:21" ht="12.75">
      <c r="A156" s="19" t="s">
        <v>7</v>
      </c>
      <c r="B156" s="19" t="s">
        <v>7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8"/>
      <c r="P156" s="18"/>
      <c r="U156" s="16"/>
    </row>
    <row r="157" spans="1:21" ht="12.75">
      <c r="A157" s="5"/>
      <c r="B157" s="5"/>
      <c r="D157" s="30"/>
      <c r="E157" s="22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16"/>
      <c r="R157" s="30"/>
      <c r="S157" s="16"/>
      <c r="T157" s="16"/>
      <c r="U157" s="16"/>
    </row>
    <row r="158" spans="1:21" ht="15">
      <c r="A158" s="37" t="s">
        <v>136</v>
      </c>
      <c r="B158" s="25"/>
      <c r="C158" s="25"/>
      <c r="D158" s="199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1:21" ht="13.5" thickBot="1">
      <c r="A159" s="6" t="s">
        <v>138</v>
      </c>
      <c r="B159" s="6"/>
      <c r="C159" s="6"/>
      <c r="D159" s="20"/>
      <c r="E159" s="20"/>
      <c r="F159" s="51" t="s">
        <v>7</v>
      </c>
      <c r="G159" s="51"/>
      <c r="H159" s="51"/>
      <c r="I159" s="51"/>
      <c r="J159" s="51"/>
      <c r="K159" s="51"/>
      <c r="L159" s="51"/>
      <c r="M159" s="28"/>
      <c r="N159" s="28"/>
      <c r="O159" s="28"/>
      <c r="P159" s="28"/>
      <c r="U159" s="28"/>
    </row>
    <row r="160" spans="1:21" ht="12.75">
      <c r="A160" s="5"/>
      <c r="B160" s="5"/>
      <c r="C160" s="5"/>
      <c r="D160" s="322" t="s">
        <v>8</v>
      </c>
      <c r="E160" s="322"/>
      <c r="F160" s="322"/>
      <c r="G160" s="66"/>
      <c r="H160" s="317" t="s">
        <v>261</v>
      </c>
      <c r="I160" s="317"/>
      <c r="J160" s="317"/>
      <c r="K160" s="125"/>
      <c r="L160" s="1" t="s">
        <v>37</v>
      </c>
      <c r="M160" s="1"/>
      <c r="N160" s="1"/>
      <c r="O160" s="66"/>
      <c r="P160" s="1"/>
      <c r="Q160" s="327"/>
      <c r="R160" s="327"/>
      <c r="U160" s="66"/>
    </row>
    <row r="161" spans="4:21" ht="12.75">
      <c r="D161" s="318" t="s">
        <v>262</v>
      </c>
      <c r="E161" s="318"/>
      <c r="F161" s="318"/>
      <c r="G161" s="1"/>
      <c r="H161" s="316" t="s">
        <v>262</v>
      </c>
      <c r="I161" s="316"/>
      <c r="J161" s="316"/>
      <c r="K161" s="67"/>
      <c r="L161" s="1" t="s">
        <v>6</v>
      </c>
      <c r="M161" s="1"/>
      <c r="N161" s="1"/>
      <c r="O161" s="1"/>
      <c r="P161" s="1"/>
      <c r="Q161" s="326"/>
      <c r="R161" s="326"/>
      <c r="U161" s="1"/>
    </row>
    <row r="162" spans="1:21" ht="12.75">
      <c r="A162" s="13" t="s">
        <v>7</v>
      </c>
      <c r="B162" s="12"/>
      <c r="D162" s="56">
        <v>2010</v>
      </c>
      <c r="E162" s="129"/>
      <c r="F162" s="26">
        <v>2009</v>
      </c>
      <c r="G162" s="68"/>
      <c r="H162" s="290">
        <v>2010</v>
      </c>
      <c r="I162" s="129"/>
      <c r="J162" s="299">
        <v>2009</v>
      </c>
      <c r="K162" s="68"/>
      <c r="L162" s="272">
        <v>2009</v>
      </c>
      <c r="M162" s="114"/>
      <c r="N162" s="68"/>
      <c r="O162" s="68"/>
      <c r="P162" s="84"/>
      <c r="Q162" s="84"/>
      <c r="R162" s="68"/>
      <c r="U162" s="77"/>
    </row>
    <row r="163" spans="1:18" ht="12.75">
      <c r="A163" s="65"/>
      <c r="B163" s="5"/>
      <c r="D163" s="321" t="s">
        <v>5</v>
      </c>
      <c r="E163" s="321"/>
      <c r="F163" s="321"/>
      <c r="G163" s="321"/>
      <c r="H163" s="321"/>
      <c r="I163" s="321"/>
      <c r="J163" s="321"/>
      <c r="K163" s="321"/>
      <c r="L163" s="321"/>
      <c r="M163" s="274"/>
      <c r="N163" s="274"/>
      <c r="O163" s="214"/>
      <c r="P163" s="214"/>
      <c r="Q163" s="321"/>
      <c r="R163" s="321"/>
    </row>
    <row r="164" spans="1:21" ht="12.75">
      <c r="A164" s="2"/>
      <c r="B164" s="2" t="s">
        <v>139</v>
      </c>
      <c r="C164" t="s">
        <v>7</v>
      </c>
      <c r="D164" s="140">
        <f>+H164-1764</f>
        <v>1725</v>
      </c>
      <c r="E164" s="233"/>
      <c r="F164" s="115">
        <f>+J164-1044</f>
        <v>1632</v>
      </c>
      <c r="G164" s="115"/>
      <c r="H164" s="140">
        <v>3489</v>
      </c>
      <c r="I164" s="233"/>
      <c r="J164" s="115">
        <f>1044+1632</f>
        <v>2676</v>
      </c>
      <c r="K164" s="115"/>
      <c r="L164" s="115">
        <v>7238</v>
      </c>
      <c r="M164" s="275"/>
      <c r="N164" s="111"/>
      <c r="O164" s="41"/>
      <c r="P164" s="111"/>
      <c r="U164" s="77"/>
    </row>
    <row r="165" spans="1:21" ht="12.75">
      <c r="A165" s="2"/>
      <c r="B165" s="25" t="s">
        <v>92</v>
      </c>
      <c r="D165" s="61">
        <f>+H165-0</f>
        <v>0</v>
      </c>
      <c r="E165" s="206"/>
      <c r="F165" s="45">
        <f>+J165-0</f>
        <v>3778</v>
      </c>
      <c r="G165" s="45"/>
      <c r="H165" s="61">
        <v>0</v>
      </c>
      <c r="I165" s="206"/>
      <c r="J165" s="45">
        <v>3778</v>
      </c>
      <c r="K165" s="45"/>
      <c r="L165" s="45">
        <v>3778</v>
      </c>
      <c r="M165" s="88"/>
      <c r="N165" s="53"/>
      <c r="O165" s="45"/>
      <c r="P165" s="53"/>
      <c r="U165" s="77"/>
    </row>
    <row r="166" spans="1:21" ht="12.75">
      <c r="A166" s="2"/>
      <c r="B166" s="25" t="s">
        <v>137</v>
      </c>
      <c r="D166" s="61">
        <f>+H166-3044</f>
        <v>0</v>
      </c>
      <c r="E166" s="2"/>
      <c r="F166" s="45">
        <f>+J166-0</f>
        <v>409</v>
      </c>
      <c r="G166" s="45"/>
      <c r="H166" s="61">
        <v>3044</v>
      </c>
      <c r="I166" s="2"/>
      <c r="J166" s="45">
        <v>409</v>
      </c>
      <c r="K166" s="25"/>
      <c r="L166" s="45">
        <v>8671</v>
      </c>
      <c r="M166" s="32"/>
      <c r="N166" s="53"/>
      <c r="O166" s="25"/>
      <c r="P166" s="53"/>
      <c r="U166" s="77"/>
    </row>
    <row r="167" spans="1:21" ht="12.75">
      <c r="A167" s="2"/>
      <c r="B167" s="25" t="s">
        <v>238</v>
      </c>
      <c r="D167" s="61">
        <f>+H167-302</f>
        <v>409</v>
      </c>
      <c r="E167" s="2"/>
      <c r="F167" s="45">
        <f>+J167-0</f>
        <v>0</v>
      </c>
      <c r="G167" s="45"/>
      <c r="H167" s="61">
        <v>711</v>
      </c>
      <c r="I167" s="2"/>
      <c r="J167" s="45">
        <f>+R167-0</f>
        <v>0</v>
      </c>
      <c r="K167" s="25"/>
      <c r="L167" s="45">
        <v>3749</v>
      </c>
      <c r="M167" s="32"/>
      <c r="N167" s="53"/>
      <c r="O167" s="25"/>
      <c r="P167" s="53"/>
      <c r="U167" s="77"/>
    </row>
    <row r="168" spans="1:21" ht="12.75">
      <c r="A168" s="2"/>
      <c r="B168" s="25" t="s">
        <v>31</v>
      </c>
      <c r="C168" s="25"/>
      <c r="D168" s="58">
        <f>+H168-744</f>
        <v>175</v>
      </c>
      <c r="E168" s="22"/>
      <c r="F168" s="22">
        <f>+J168-14</f>
        <v>501</v>
      </c>
      <c r="G168" s="22"/>
      <c r="H168" s="58">
        <v>919</v>
      </c>
      <c r="I168" s="22"/>
      <c r="J168" s="22">
        <f>14+501</f>
        <v>515</v>
      </c>
      <c r="K168" s="22"/>
      <c r="L168" s="22">
        <f>470+583</f>
        <v>1053</v>
      </c>
      <c r="M168" s="28"/>
      <c r="N168" s="28"/>
      <c r="O168" s="22"/>
      <c r="P168" s="28"/>
      <c r="R168" s="171" t="s">
        <v>7</v>
      </c>
      <c r="U168" s="77"/>
    </row>
    <row r="169" spans="1:21" ht="12.75">
      <c r="A169" s="4"/>
      <c r="B169" s="4" t="s">
        <v>0</v>
      </c>
      <c r="C169" s="2"/>
      <c r="D169" s="60">
        <f>SUM(D164:D168)</f>
        <v>2309</v>
      </c>
      <c r="E169" s="16"/>
      <c r="F169" s="29">
        <f>SUM(F164:F168)</f>
        <v>6320</v>
      </c>
      <c r="G169" s="30"/>
      <c r="H169" s="60">
        <f>SUM(H164:H168)</f>
        <v>8163</v>
      </c>
      <c r="I169" s="16"/>
      <c r="J169" s="29">
        <f>SUM(J164:J168)</f>
        <v>7378</v>
      </c>
      <c r="K169" s="30"/>
      <c r="L169" s="29">
        <f>SUM(L164:L168)</f>
        <v>24489</v>
      </c>
      <c r="M169" s="28"/>
      <c r="N169" s="30"/>
      <c r="O169" s="30"/>
      <c r="P169" s="30"/>
      <c r="U169" s="77"/>
    </row>
    <row r="170" spans="1:21" ht="12.75">
      <c r="A170" s="5"/>
      <c r="B170" s="5"/>
      <c r="D170" s="30"/>
      <c r="E170" s="22"/>
      <c r="F170" s="30"/>
      <c r="G170" s="30"/>
      <c r="H170" s="30"/>
      <c r="I170" s="30"/>
      <c r="J170" s="30"/>
      <c r="K170" s="30"/>
      <c r="L170" s="201"/>
      <c r="M170" s="16"/>
      <c r="N170" s="30"/>
      <c r="O170" s="30"/>
      <c r="P170" s="30"/>
      <c r="U170" s="77"/>
    </row>
    <row r="171" spans="1:21" ht="12.75">
      <c r="A171" s="5"/>
      <c r="B171" s="5"/>
      <c r="D171" s="91"/>
      <c r="E171" s="16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U171" s="77"/>
    </row>
    <row r="172" spans="1:21" ht="15">
      <c r="A172" s="37" t="s">
        <v>142</v>
      </c>
      <c r="B172" s="25"/>
      <c r="C172" s="25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1:21" ht="13.5" thickBot="1">
      <c r="A173" s="6" t="s">
        <v>141</v>
      </c>
      <c r="B173" s="6"/>
      <c r="C173" s="6"/>
      <c r="D173" s="20"/>
      <c r="E173" s="20"/>
      <c r="F173" s="51" t="s">
        <v>7</v>
      </c>
      <c r="G173" s="51"/>
      <c r="H173" s="51"/>
      <c r="I173" s="51"/>
      <c r="J173" s="51"/>
      <c r="K173" s="51"/>
      <c r="L173" s="51"/>
      <c r="M173" s="28"/>
      <c r="N173" s="28"/>
      <c r="O173" s="28"/>
      <c r="P173" s="28"/>
      <c r="U173" s="28"/>
    </row>
    <row r="174" spans="1:21" ht="12.75">
      <c r="A174" s="5"/>
      <c r="B174" s="5"/>
      <c r="C174" s="5"/>
      <c r="D174" s="322" t="s">
        <v>8</v>
      </c>
      <c r="E174" s="322"/>
      <c r="F174" s="322"/>
      <c r="G174" s="66"/>
      <c r="H174" s="317" t="s">
        <v>261</v>
      </c>
      <c r="I174" s="317"/>
      <c r="J174" s="317"/>
      <c r="K174" s="125"/>
      <c r="L174" s="84" t="s">
        <v>37</v>
      </c>
      <c r="M174" s="84"/>
      <c r="N174" s="84"/>
      <c r="O174" s="66"/>
      <c r="P174" s="1"/>
      <c r="Q174" s="327"/>
      <c r="R174" s="327"/>
      <c r="U174" s="66"/>
    </row>
    <row r="175" spans="4:21" ht="12.75">
      <c r="D175" s="318" t="s">
        <v>262</v>
      </c>
      <c r="E175" s="318"/>
      <c r="F175" s="318"/>
      <c r="G175" s="1"/>
      <c r="H175" s="316" t="s">
        <v>262</v>
      </c>
      <c r="I175" s="316"/>
      <c r="J175" s="316"/>
      <c r="K175" s="67"/>
      <c r="L175" s="84" t="s">
        <v>6</v>
      </c>
      <c r="M175" s="84"/>
      <c r="N175" s="84"/>
      <c r="O175" s="1"/>
      <c r="P175" s="1"/>
      <c r="Q175" s="326"/>
      <c r="R175" s="326"/>
      <c r="U175" s="1"/>
    </row>
    <row r="176" spans="1:21" ht="12.75">
      <c r="A176" s="13" t="s">
        <v>7</v>
      </c>
      <c r="B176" s="12"/>
      <c r="D176" s="56">
        <v>2010</v>
      </c>
      <c r="E176" s="129"/>
      <c r="F176" s="26">
        <v>2009</v>
      </c>
      <c r="G176" s="68"/>
      <c r="H176" s="290">
        <v>2010</v>
      </c>
      <c r="I176" s="129"/>
      <c r="J176" s="299">
        <v>2009</v>
      </c>
      <c r="K176" s="68"/>
      <c r="L176" s="272">
        <v>2009</v>
      </c>
      <c r="M176" s="114"/>
      <c r="N176" s="68"/>
      <c r="O176" s="68"/>
      <c r="P176" s="84"/>
      <c r="Q176" s="84"/>
      <c r="R176" s="68"/>
      <c r="U176" s="77"/>
    </row>
    <row r="177" spans="1:18" ht="12.75">
      <c r="A177" s="65"/>
      <c r="B177" s="5"/>
      <c r="D177" s="321" t="s">
        <v>5</v>
      </c>
      <c r="E177" s="321"/>
      <c r="F177" s="321"/>
      <c r="G177" s="321"/>
      <c r="H177" s="321"/>
      <c r="I177" s="321"/>
      <c r="J177" s="321"/>
      <c r="K177" s="321"/>
      <c r="L177" s="321"/>
      <c r="M177" s="274"/>
      <c r="N177" s="274"/>
      <c r="O177" s="214"/>
      <c r="P177" s="214"/>
      <c r="Q177" s="321"/>
      <c r="R177" s="321"/>
    </row>
    <row r="178" spans="1:21" ht="12.75">
      <c r="A178" s="2"/>
      <c r="B178" s="25" t="s">
        <v>256</v>
      </c>
      <c r="D178" s="57">
        <f>+H178-0</f>
        <v>0</v>
      </c>
      <c r="E178" s="106"/>
      <c r="F178" s="24">
        <f>+J178-0</f>
        <v>0</v>
      </c>
      <c r="G178" s="115"/>
      <c r="H178" s="140">
        <v>0</v>
      </c>
      <c r="I178" s="310"/>
      <c r="J178" s="24">
        <v>0</v>
      </c>
      <c r="K178" s="115"/>
      <c r="L178" s="115">
        <v>-6895</v>
      </c>
      <c r="M178" s="112"/>
      <c r="N178" s="111"/>
      <c r="O178" s="111"/>
      <c r="P178" s="111"/>
      <c r="U178" s="77"/>
    </row>
    <row r="179" spans="1:21" ht="12.75">
      <c r="A179" s="2"/>
      <c r="B179" s="25" t="s">
        <v>265</v>
      </c>
      <c r="D179" s="61">
        <f>+H179-0</f>
        <v>-7029</v>
      </c>
      <c r="E179" s="106"/>
      <c r="F179" s="45">
        <v>0</v>
      </c>
      <c r="G179" s="115"/>
      <c r="H179" s="61">
        <f>-6829-200</f>
        <v>-7029</v>
      </c>
      <c r="I179" s="310"/>
      <c r="J179" s="45">
        <v>0</v>
      </c>
      <c r="K179" s="115"/>
      <c r="L179" s="45">
        <v>0</v>
      </c>
      <c r="M179" s="112"/>
      <c r="N179" s="111"/>
      <c r="O179" s="111"/>
      <c r="P179" s="111"/>
      <c r="U179" s="77"/>
    </row>
    <row r="180" spans="1:21" ht="12.75">
      <c r="A180" s="2"/>
      <c r="B180" s="25" t="s">
        <v>274</v>
      </c>
      <c r="D180" s="61">
        <f>+H180-0</f>
        <v>-1229</v>
      </c>
      <c r="E180" s="106"/>
      <c r="F180" s="45">
        <v>0</v>
      </c>
      <c r="G180" s="115"/>
      <c r="H180" s="61">
        <v>-1229</v>
      </c>
      <c r="I180" s="310"/>
      <c r="J180" s="45">
        <v>0</v>
      </c>
      <c r="K180" s="115"/>
      <c r="L180" s="45">
        <v>0</v>
      </c>
      <c r="M180" s="112"/>
      <c r="N180" s="111"/>
      <c r="O180" s="111"/>
      <c r="P180" s="111"/>
      <c r="U180" s="77"/>
    </row>
    <row r="181" spans="1:21" ht="12.75" hidden="1">
      <c r="A181" s="2"/>
      <c r="B181" s="25" t="s">
        <v>132</v>
      </c>
      <c r="D181" s="61"/>
      <c r="F181" s="45">
        <v>0</v>
      </c>
      <c r="G181" s="45"/>
      <c r="H181" s="61"/>
      <c r="I181" s="268"/>
      <c r="J181" s="45">
        <v>0</v>
      </c>
      <c r="K181" s="25"/>
      <c r="L181" s="45">
        <v>0</v>
      </c>
      <c r="M181" s="5"/>
      <c r="N181" s="53"/>
      <c r="O181" s="111"/>
      <c r="P181" s="111"/>
      <c r="U181" s="77"/>
    </row>
    <row r="182" spans="1:21" ht="12.75">
      <c r="A182" s="2"/>
      <c r="B182" s="25" t="s">
        <v>31</v>
      </c>
      <c r="C182" s="25"/>
      <c r="D182" s="58">
        <f>+H182--1995</f>
        <v>-2314</v>
      </c>
      <c r="E182" s="22"/>
      <c r="F182" s="22">
        <f>+J182--1895</f>
        <v>-1860</v>
      </c>
      <c r="G182" s="22"/>
      <c r="H182" s="58">
        <f>-1777-2280-183-69</f>
        <v>-4309</v>
      </c>
      <c r="I182" s="307"/>
      <c r="J182" s="22">
        <f>-1895-1860</f>
        <v>-3755</v>
      </c>
      <c r="K182" s="22"/>
      <c r="L182" s="22">
        <f>-11117-L178</f>
        <v>-4222</v>
      </c>
      <c r="M182" s="28"/>
      <c r="N182" s="28"/>
      <c r="O182" s="28"/>
      <c r="P182" s="28"/>
      <c r="R182" s="171" t="s">
        <v>7</v>
      </c>
      <c r="U182" s="77"/>
    </row>
    <row r="183" spans="1:21" ht="12.75">
      <c r="A183" s="4"/>
      <c r="B183" s="4" t="s">
        <v>0</v>
      </c>
      <c r="C183" s="2"/>
      <c r="D183" s="60">
        <f>SUM(D178:D182)</f>
        <v>-10572</v>
      </c>
      <c r="E183" s="16"/>
      <c r="F183" s="29">
        <f>SUM(F178:F182)</f>
        <v>-1860</v>
      </c>
      <c r="G183" s="30"/>
      <c r="H183" s="60">
        <f>SUM(H178:H182)</f>
        <v>-12567</v>
      </c>
      <c r="I183" s="16"/>
      <c r="J183" s="29">
        <f>SUM(J178:J182)</f>
        <v>-3755</v>
      </c>
      <c r="K183" s="30"/>
      <c r="L183" s="29">
        <f>SUM(L178:L182)</f>
        <v>-11117</v>
      </c>
      <c r="M183" s="18"/>
      <c r="N183" s="30"/>
      <c r="O183" s="30"/>
      <c r="P183" s="30"/>
      <c r="U183" s="77"/>
    </row>
    <row r="184" spans="1:21" ht="12.75">
      <c r="A184" s="5"/>
      <c r="B184" s="5"/>
      <c r="D184" s="91"/>
      <c r="E184" s="16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U184" s="77"/>
    </row>
    <row r="185" spans="3:21" ht="12.75">
      <c r="C185" s="85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16"/>
    </row>
    <row r="186" spans="1:21" ht="15">
      <c r="A186" s="37" t="s">
        <v>133</v>
      </c>
      <c r="B186" s="25"/>
      <c r="C186" s="92"/>
      <c r="D186" s="98" t="s">
        <v>7</v>
      </c>
      <c r="E186" s="74"/>
      <c r="F186" s="98" t="s">
        <v>7</v>
      </c>
      <c r="G186" s="98"/>
      <c r="H186" s="98"/>
      <c r="I186" s="98"/>
      <c r="J186" s="98"/>
      <c r="K186" s="22"/>
      <c r="L186" s="22"/>
      <c r="M186" s="22"/>
      <c r="N186" s="22"/>
      <c r="O186" s="16"/>
      <c r="P186" s="16"/>
      <c r="Q186" s="16"/>
      <c r="R186" s="16"/>
      <c r="S186" s="16"/>
      <c r="T186" s="16"/>
      <c r="U186" s="16"/>
    </row>
    <row r="187" spans="1:21" ht="13.5" thickBot="1">
      <c r="A187" s="38" t="s">
        <v>93</v>
      </c>
      <c r="B187" s="38"/>
      <c r="C187" s="38"/>
      <c r="D187" s="51"/>
      <c r="E187" s="51"/>
      <c r="F187" s="51"/>
      <c r="G187" s="51"/>
      <c r="H187" s="51"/>
      <c r="I187" s="28"/>
      <c r="J187" s="28"/>
      <c r="K187" s="28"/>
      <c r="L187" s="28"/>
      <c r="M187" s="22"/>
      <c r="R187" s="22"/>
      <c r="S187" s="16"/>
      <c r="T187" s="16"/>
      <c r="U187" s="16"/>
    </row>
    <row r="188" spans="1:17" ht="12.75">
      <c r="A188" s="47" t="s">
        <v>7</v>
      </c>
      <c r="B188" s="105"/>
      <c r="C188" s="25"/>
      <c r="D188" s="318" t="s">
        <v>262</v>
      </c>
      <c r="E188" s="318"/>
      <c r="F188" s="318"/>
      <c r="G188" s="1"/>
      <c r="H188" s="277" t="s">
        <v>73</v>
      </c>
      <c r="I188" s="278"/>
      <c r="J188" s="278"/>
      <c r="N188" s="22"/>
      <c r="O188" s="16"/>
      <c r="P188" s="16"/>
      <c r="Q188" s="16"/>
    </row>
    <row r="189" spans="1:17" ht="12.75">
      <c r="A189" s="64"/>
      <c r="B189" s="32"/>
      <c r="C189" s="25"/>
      <c r="D189" s="56">
        <v>2010</v>
      </c>
      <c r="E189" s="11"/>
      <c r="F189" s="26">
        <v>2009</v>
      </c>
      <c r="G189" s="68"/>
      <c r="H189" s="272">
        <v>2009</v>
      </c>
      <c r="I189" s="22"/>
      <c r="N189" s="22"/>
      <c r="O189" s="16"/>
      <c r="P189" s="16"/>
      <c r="Q189" s="16"/>
    </row>
    <row r="190" spans="1:17" ht="12.75">
      <c r="A190" s="64"/>
      <c r="B190" s="32"/>
      <c r="C190" s="25"/>
      <c r="D190" s="328" t="s">
        <v>5</v>
      </c>
      <c r="E190" s="328"/>
      <c r="F190" s="328"/>
      <c r="G190" s="328"/>
      <c r="H190" s="328"/>
      <c r="I190" s="22"/>
      <c r="N190" s="22"/>
      <c r="O190" s="16"/>
      <c r="P190" s="16"/>
      <c r="Q190" s="16"/>
    </row>
    <row r="191" spans="1:17" ht="12.75">
      <c r="A191" s="32"/>
      <c r="B191" s="32" t="s">
        <v>94</v>
      </c>
      <c r="C191" s="32"/>
      <c r="D191" s="140">
        <v>0</v>
      </c>
      <c r="E191" s="307"/>
      <c r="F191" s="115">
        <v>1472</v>
      </c>
      <c r="G191" s="115"/>
      <c r="H191" s="115">
        <v>0</v>
      </c>
      <c r="I191" s="22"/>
      <c r="N191" s="22"/>
      <c r="O191" s="16"/>
      <c r="P191" s="16"/>
      <c r="Q191" s="16"/>
    </row>
    <row r="192" spans="1:17" ht="12.75">
      <c r="A192" s="32"/>
      <c r="B192" s="32" t="s">
        <v>27</v>
      </c>
      <c r="C192" s="32"/>
      <c r="D192" s="59">
        <v>639</v>
      </c>
      <c r="E192" s="295"/>
      <c r="F192" s="28">
        <v>1531</v>
      </c>
      <c r="G192" s="28"/>
      <c r="H192" s="28">
        <v>1044</v>
      </c>
      <c r="I192" s="22"/>
      <c r="N192" s="22"/>
      <c r="O192" s="16"/>
      <c r="P192" s="16"/>
      <c r="Q192" s="16"/>
    </row>
    <row r="193" spans="1:17" ht="12.75">
      <c r="A193" s="32"/>
      <c r="B193" s="32" t="s">
        <v>29</v>
      </c>
      <c r="C193" s="32"/>
      <c r="D193" s="59">
        <v>2045</v>
      </c>
      <c r="E193" s="295"/>
      <c r="F193" s="28">
        <v>474</v>
      </c>
      <c r="G193" s="28"/>
      <c r="H193" s="28">
        <v>1796</v>
      </c>
      <c r="I193" s="28"/>
      <c r="N193" s="28"/>
      <c r="O193" s="28"/>
      <c r="P193" s="28"/>
      <c r="Q193" s="28"/>
    </row>
    <row r="194" spans="1:17" ht="12.75">
      <c r="A194" s="32"/>
      <c r="B194" s="32" t="s">
        <v>38</v>
      </c>
      <c r="C194" s="32"/>
      <c r="D194" s="59">
        <v>6983</v>
      </c>
      <c r="E194" s="295"/>
      <c r="F194" s="28">
        <v>16792</v>
      </c>
      <c r="G194" s="28"/>
      <c r="H194" s="28">
        <v>8785</v>
      </c>
      <c r="I194" s="28"/>
      <c r="N194" s="28"/>
      <c r="O194" s="28"/>
      <c r="P194" s="28"/>
      <c r="Q194" s="28"/>
    </row>
    <row r="195" spans="1:17" ht="12.75">
      <c r="A195" s="32"/>
      <c r="B195" s="32" t="s">
        <v>61</v>
      </c>
      <c r="C195" s="32"/>
      <c r="D195" s="59">
        <v>41178</v>
      </c>
      <c r="E195" s="295"/>
      <c r="F195" s="28">
        <v>96721</v>
      </c>
      <c r="G195" s="28"/>
      <c r="H195" s="28">
        <v>46925</v>
      </c>
      <c r="I195" s="32"/>
      <c r="N195" s="28"/>
      <c r="O195" s="28"/>
      <c r="P195" s="28"/>
      <c r="Q195" s="32"/>
    </row>
    <row r="196" spans="1:17" ht="12.75">
      <c r="A196" s="32"/>
      <c r="B196" s="32" t="s">
        <v>95</v>
      </c>
      <c r="C196" s="32"/>
      <c r="D196" s="59">
        <v>146458</v>
      </c>
      <c r="E196" s="295"/>
      <c r="F196" s="28">
        <v>108716</v>
      </c>
      <c r="G196" s="28"/>
      <c r="H196" s="28">
        <v>160978</v>
      </c>
      <c r="I196" s="32"/>
      <c r="N196" s="28"/>
      <c r="O196" s="28"/>
      <c r="P196" s="28"/>
      <c r="Q196" s="32"/>
    </row>
    <row r="197" spans="1:17" ht="12.75">
      <c r="A197" s="105"/>
      <c r="B197" s="105" t="s">
        <v>252</v>
      </c>
      <c r="C197" s="25"/>
      <c r="D197" s="313">
        <v>13061</v>
      </c>
      <c r="E197" s="307"/>
      <c r="F197" s="27">
        <v>0</v>
      </c>
      <c r="G197" s="28"/>
      <c r="H197" s="27">
        <v>0</v>
      </c>
      <c r="I197" s="22"/>
      <c r="N197" s="22"/>
      <c r="O197" s="16"/>
      <c r="P197" s="16"/>
      <c r="Q197" s="16"/>
    </row>
    <row r="198" spans="1:17" ht="12.75">
      <c r="A198" s="25"/>
      <c r="B198" s="25" t="s">
        <v>28</v>
      </c>
      <c r="C198" s="25"/>
      <c r="D198" s="58">
        <f>SUM(D191:D197)</f>
        <v>210364</v>
      </c>
      <c r="E198" s="307"/>
      <c r="F198" s="22">
        <f>SUM(F191:F197)</f>
        <v>225706</v>
      </c>
      <c r="G198" s="22"/>
      <c r="H198" s="22">
        <f>SUM(H191:H197)</f>
        <v>219528</v>
      </c>
      <c r="I198" s="22"/>
      <c r="N198" s="22"/>
      <c r="O198" s="16"/>
      <c r="P198" s="16"/>
      <c r="Q198" s="16"/>
    </row>
    <row r="199" spans="1:17" ht="12.75">
      <c r="A199" s="25"/>
      <c r="B199" s="25" t="s">
        <v>30</v>
      </c>
      <c r="C199" s="25"/>
      <c r="D199" s="58">
        <f>138691+808</f>
        <v>139499</v>
      </c>
      <c r="E199" s="307"/>
      <c r="F199" s="22">
        <v>122787</v>
      </c>
      <c r="G199" s="22"/>
      <c r="H199" s="22">
        <f>73708+2</f>
        <v>73710</v>
      </c>
      <c r="I199" s="22"/>
      <c r="N199" s="22"/>
      <c r="O199" s="16"/>
      <c r="P199" s="16"/>
      <c r="Q199" s="16"/>
    </row>
    <row r="200" spans="1:17" ht="12.75">
      <c r="A200" s="113"/>
      <c r="B200" s="113" t="s">
        <v>96</v>
      </c>
      <c r="C200" s="25"/>
      <c r="D200" s="60">
        <f>SUM(D198:D199)</f>
        <v>349863</v>
      </c>
      <c r="E200" s="307"/>
      <c r="F200" s="29">
        <f>SUM(F198:F199)</f>
        <v>348493</v>
      </c>
      <c r="G200" s="30"/>
      <c r="H200" s="29">
        <f>SUM(H198:H199)</f>
        <v>293238</v>
      </c>
      <c r="I200" s="16"/>
      <c r="N200" s="16"/>
      <c r="O200" s="16"/>
      <c r="P200" s="16"/>
      <c r="Q200" s="16"/>
    </row>
    <row r="201" spans="1:21" ht="12.75">
      <c r="A201" s="32"/>
      <c r="B201" s="32"/>
      <c r="C201" s="25"/>
      <c r="D201" s="30"/>
      <c r="E201" s="22"/>
      <c r="F201" s="30"/>
      <c r="G201" s="30"/>
      <c r="H201" s="30"/>
      <c r="I201" s="30"/>
      <c r="J201" s="30"/>
      <c r="K201" s="95"/>
      <c r="L201" s="30"/>
      <c r="M201" s="16"/>
      <c r="R201" s="16"/>
      <c r="S201" s="16"/>
      <c r="T201" s="16"/>
      <c r="U201" s="16"/>
    </row>
    <row r="202" spans="1:21" ht="12.75">
      <c r="A202" s="32" t="s">
        <v>273</v>
      </c>
      <c r="B202" s="32"/>
      <c r="C202" s="25"/>
      <c r="D202" s="30"/>
      <c r="E202" s="22"/>
      <c r="F202" s="30"/>
      <c r="G202" s="30"/>
      <c r="H202" s="30"/>
      <c r="I202" s="30"/>
      <c r="J202" s="30"/>
      <c r="K202" s="95"/>
      <c r="L202" s="30"/>
      <c r="M202" s="16"/>
      <c r="R202" s="16"/>
      <c r="S202" s="16"/>
      <c r="T202" s="16"/>
      <c r="U202" s="16"/>
    </row>
    <row r="203" spans="1:21" ht="12.75">
      <c r="A203" s="32" t="s">
        <v>244</v>
      </c>
      <c r="B203" s="32"/>
      <c r="C203" s="25"/>
      <c r="D203" s="30"/>
      <c r="E203" s="22"/>
      <c r="F203" s="30"/>
      <c r="G203" s="30"/>
      <c r="H203" s="30"/>
      <c r="I203" s="30"/>
      <c r="J203" s="30"/>
      <c r="K203" s="95"/>
      <c r="L203" s="30"/>
      <c r="M203" s="16"/>
      <c r="R203" s="16"/>
      <c r="S203" s="16"/>
      <c r="T203" s="16"/>
      <c r="U203" s="16"/>
    </row>
    <row r="204" spans="2:21" ht="12.75">
      <c r="B204" s="268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8"/>
      <c r="T204" s="18"/>
      <c r="U204" s="16"/>
    </row>
    <row r="205" spans="1:24" ht="13.5" thickBot="1">
      <c r="A205" s="43" t="s">
        <v>97</v>
      </c>
      <c r="B205" s="38"/>
      <c r="C205" s="38"/>
      <c r="D205" s="20"/>
      <c r="E205" s="20"/>
      <c r="F205" s="51"/>
      <c r="G205" s="51"/>
      <c r="H205" s="51"/>
      <c r="I205" s="51"/>
      <c r="J205" s="51"/>
      <c r="K205" s="51"/>
      <c r="L205" s="51"/>
      <c r="M205" s="28"/>
      <c r="N205" s="28"/>
      <c r="O205" s="28"/>
      <c r="P205" s="28"/>
      <c r="S205" s="22"/>
      <c r="T205" s="22"/>
      <c r="X205" s="16"/>
    </row>
    <row r="206" spans="1:24" ht="12.75">
      <c r="A206" s="5"/>
      <c r="B206" s="5"/>
      <c r="C206" s="5"/>
      <c r="D206" s="322" t="s">
        <v>8</v>
      </c>
      <c r="E206" s="322"/>
      <c r="F206" s="322"/>
      <c r="G206" s="66"/>
      <c r="H206" s="317" t="s">
        <v>261</v>
      </c>
      <c r="I206" s="317"/>
      <c r="J206" s="317"/>
      <c r="K206" s="125"/>
      <c r="L206" s="279" t="s">
        <v>37</v>
      </c>
      <c r="M206" s="280"/>
      <c r="N206" s="280"/>
      <c r="O206" s="67"/>
      <c r="P206" s="1"/>
      <c r="S206" s="66"/>
      <c r="T206" s="66"/>
      <c r="X206" s="16"/>
    </row>
    <row r="207" spans="4:24" ht="12.75">
      <c r="D207" s="318" t="s">
        <v>262</v>
      </c>
      <c r="E207" s="318"/>
      <c r="F207" s="318"/>
      <c r="G207" s="1"/>
      <c r="H207" s="316" t="s">
        <v>262</v>
      </c>
      <c r="I207" s="316"/>
      <c r="J207" s="316"/>
      <c r="K207" s="67"/>
      <c r="L207" s="277" t="s">
        <v>6</v>
      </c>
      <c r="M207" s="278"/>
      <c r="N207" s="278"/>
      <c r="O207" s="84"/>
      <c r="P207" s="1"/>
      <c r="S207" s="1"/>
      <c r="T207" s="1"/>
      <c r="X207" s="16"/>
    </row>
    <row r="208" spans="1:16" ht="12.75">
      <c r="A208" s="13" t="s">
        <v>7</v>
      </c>
      <c r="B208" s="12"/>
      <c r="D208" s="56">
        <v>2010</v>
      </c>
      <c r="E208" s="129"/>
      <c r="F208" s="26">
        <v>2009</v>
      </c>
      <c r="G208" s="68"/>
      <c r="H208" s="290">
        <v>2010</v>
      </c>
      <c r="I208" s="129"/>
      <c r="J208" s="299">
        <v>2009</v>
      </c>
      <c r="K208" s="68"/>
      <c r="L208" s="272">
        <v>2009</v>
      </c>
      <c r="M208" s="114"/>
      <c r="N208" s="68"/>
      <c r="O208" s="67"/>
      <c r="P208" s="84"/>
    </row>
    <row r="209" spans="1:16" ht="12.75">
      <c r="A209" s="195" t="s">
        <v>179</v>
      </c>
      <c r="B209" s="5"/>
      <c r="D209" s="315" t="s">
        <v>5</v>
      </c>
      <c r="E209" s="315"/>
      <c r="F209" s="315"/>
      <c r="G209" s="315"/>
      <c r="H209" s="315"/>
      <c r="I209" s="315"/>
      <c r="J209" s="315"/>
      <c r="K209" s="315"/>
      <c r="L209" s="315"/>
      <c r="M209" s="224"/>
      <c r="N209" s="224"/>
      <c r="O209" s="224"/>
      <c r="P209" s="224"/>
    </row>
    <row r="210" spans="1:20" ht="12.75">
      <c r="A210" s="33" t="s">
        <v>33</v>
      </c>
      <c r="B210" s="5"/>
      <c r="D210" s="63"/>
      <c r="E210" s="15"/>
      <c r="F210" s="40"/>
      <c r="G210" s="40"/>
      <c r="H210" s="63"/>
      <c r="I210" s="15"/>
      <c r="J210" s="40"/>
      <c r="K210" s="40"/>
      <c r="L210" s="78"/>
      <c r="M210" s="40"/>
      <c r="N210" s="78"/>
      <c r="O210" s="76"/>
      <c r="P210" s="76"/>
      <c r="T210" s="75"/>
    </row>
    <row r="211" spans="1:19" ht="12.75">
      <c r="A211" s="2"/>
      <c r="B211" s="2" t="s">
        <v>98</v>
      </c>
      <c r="C211" s="2"/>
      <c r="D211" s="57">
        <f>+H211-34321</f>
        <v>34011</v>
      </c>
      <c r="E211" s="24"/>
      <c r="F211" s="24">
        <f>+J211-23441</f>
        <v>82658</v>
      </c>
      <c r="G211" s="24"/>
      <c r="H211" s="57">
        <v>68332</v>
      </c>
      <c r="I211" s="24"/>
      <c r="J211" s="24">
        <v>106099</v>
      </c>
      <c r="K211" s="24"/>
      <c r="L211" s="24">
        <f>L47</f>
        <v>169043</v>
      </c>
      <c r="M211" s="23"/>
      <c r="N211" s="23"/>
      <c r="O211" s="76"/>
      <c r="P211" s="23"/>
      <c r="S211" s="75"/>
    </row>
    <row r="212" spans="1:19" ht="12.75">
      <c r="A212" s="2"/>
      <c r="B212" s="2" t="s">
        <v>99</v>
      </c>
      <c r="C212" s="2"/>
      <c r="D212" s="61">
        <f>+H212-42200</f>
        <v>25757</v>
      </c>
      <c r="E212" s="22"/>
      <c r="F212" s="45">
        <f>+J212-22717</f>
        <v>29084</v>
      </c>
      <c r="G212" s="45"/>
      <c r="H212" s="61">
        <v>67957</v>
      </c>
      <c r="I212" s="22"/>
      <c r="J212" s="45">
        <v>51801</v>
      </c>
      <c r="K212" s="22"/>
      <c r="L212" s="22">
        <f>L48</f>
        <v>181635</v>
      </c>
      <c r="M212" s="28"/>
      <c r="N212" s="28"/>
      <c r="O212" s="76"/>
      <c r="P212" s="28"/>
      <c r="S212" s="75"/>
    </row>
    <row r="213" spans="1:19" ht="12.75">
      <c r="A213" s="2"/>
      <c r="B213" s="2" t="s">
        <v>100</v>
      </c>
      <c r="C213" s="2"/>
      <c r="D213" s="58">
        <f>+H213-(62545-10457)</f>
        <v>51693</v>
      </c>
      <c r="E213" s="22"/>
      <c r="F213" s="22">
        <f>+J213-44838</f>
        <v>56734</v>
      </c>
      <c r="G213" s="22"/>
      <c r="H213" s="58">
        <f>122240-18459</f>
        <v>103781</v>
      </c>
      <c r="I213" s="22"/>
      <c r="J213" s="22">
        <f>112983-11400-11</f>
        <v>101572</v>
      </c>
      <c r="K213" s="22"/>
      <c r="L213" s="22">
        <f>207840-24781</f>
        <v>183059</v>
      </c>
      <c r="M213" s="28"/>
      <c r="N213" s="28"/>
      <c r="O213" s="76"/>
      <c r="P213" s="28"/>
      <c r="S213" s="75"/>
    </row>
    <row r="214" spans="1:19" ht="12.75">
      <c r="A214" s="2"/>
      <c r="B214" s="2" t="s">
        <v>101</v>
      </c>
      <c r="C214" s="2"/>
      <c r="D214" s="58">
        <f>+H214-903</f>
        <v>1265</v>
      </c>
      <c r="E214" s="22"/>
      <c r="F214" s="22">
        <f>+J214-1532</f>
        <v>1857</v>
      </c>
      <c r="G214" s="22"/>
      <c r="H214" s="58">
        <v>2168</v>
      </c>
      <c r="I214" s="22"/>
      <c r="J214" s="22">
        <v>3389</v>
      </c>
      <c r="K214" s="22"/>
      <c r="L214" s="22">
        <v>6000</v>
      </c>
      <c r="M214" s="28"/>
      <c r="N214" s="28"/>
      <c r="O214" s="76"/>
      <c r="P214" s="28"/>
      <c r="S214" s="75"/>
    </row>
    <row r="215" spans="1:19" ht="12.75">
      <c r="A215" s="2"/>
      <c r="B215" s="2" t="s">
        <v>49</v>
      </c>
      <c r="C215" s="2"/>
      <c r="D215" s="58">
        <f>+H215-10457</f>
        <v>8002</v>
      </c>
      <c r="E215" s="22"/>
      <c r="F215" s="22">
        <f>+J215-3166</f>
        <v>8234</v>
      </c>
      <c r="G215" s="22"/>
      <c r="H215" s="58">
        <v>18459</v>
      </c>
      <c r="I215" s="22"/>
      <c r="J215" s="22">
        <v>11400</v>
      </c>
      <c r="K215" s="22"/>
      <c r="L215" s="22">
        <v>24781</v>
      </c>
      <c r="M215" s="28"/>
      <c r="N215" s="28"/>
      <c r="O215" s="76"/>
      <c r="P215" s="28"/>
      <c r="S215" s="75"/>
    </row>
    <row r="216" spans="1:19" ht="12.75">
      <c r="A216" s="2"/>
      <c r="B216" s="2" t="s">
        <v>102</v>
      </c>
      <c r="C216" s="2"/>
      <c r="D216" s="58">
        <f>+H216-(31877+2911)</f>
        <v>32488</v>
      </c>
      <c r="E216" s="22"/>
      <c r="F216" s="22">
        <f>+J216-16066</f>
        <v>45333</v>
      </c>
      <c r="G216" s="22"/>
      <c r="H216" s="58">
        <f>998+5938+60340</f>
        <v>67276</v>
      </c>
      <c r="I216" s="22"/>
      <c r="J216" s="22">
        <f>3737+57718+11-67</f>
        <v>61399</v>
      </c>
      <c r="K216" s="22"/>
      <c r="L216" s="22">
        <f>10138+128390+13044</f>
        <v>151572</v>
      </c>
      <c r="M216" s="28"/>
      <c r="N216" s="28"/>
      <c r="O216" s="76"/>
      <c r="P216" s="28"/>
      <c r="S216" s="75"/>
    </row>
    <row r="217" spans="1:19" ht="12.75">
      <c r="A217" s="33" t="s">
        <v>104</v>
      </c>
      <c r="B217" s="5"/>
      <c r="D217" s="63"/>
      <c r="E217" s="15"/>
      <c r="F217" s="78"/>
      <c r="G217" s="78"/>
      <c r="H217" s="63"/>
      <c r="I217" s="15"/>
      <c r="J217" s="78"/>
      <c r="K217" s="40"/>
      <c r="L217" s="25"/>
      <c r="M217" s="40"/>
      <c r="N217" s="78"/>
      <c r="O217" s="76"/>
      <c r="P217" s="117"/>
      <c r="S217" s="75"/>
    </row>
    <row r="218" spans="1:19" ht="12.75">
      <c r="A218" s="33"/>
      <c r="B218" s="2" t="s">
        <v>99</v>
      </c>
      <c r="C218" s="2"/>
      <c r="D218" s="142">
        <f>+H218-0</f>
        <v>0</v>
      </c>
      <c r="E218" s="141"/>
      <c r="F218" s="24">
        <f>+J218-0</f>
        <v>0</v>
      </c>
      <c r="G218" s="24"/>
      <c r="H218" s="142">
        <v>0</v>
      </c>
      <c r="I218" s="141"/>
      <c r="J218" s="24">
        <v>0</v>
      </c>
      <c r="K218" s="141"/>
      <c r="L218" s="141">
        <v>500</v>
      </c>
      <c r="M218" s="28"/>
      <c r="N218" s="146"/>
      <c r="O218" s="76"/>
      <c r="P218" s="117"/>
      <c r="S218" s="75"/>
    </row>
    <row r="219" spans="1:25" ht="12.75">
      <c r="A219" s="2"/>
      <c r="B219" s="2" t="s">
        <v>103</v>
      </c>
      <c r="C219" s="2"/>
      <c r="D219" s="61">
        <f>+H219-0</f>
        <v>0</v>
      </c>
      <c r="E219" s="22"/>
      <c r="F219" s="45">
        <f>+J219-6</f>
        <v>5</v>
      </c>
      <c r="G219" s="45"/>
      <c r="H219" s="61">
        <v>0</v>
      </c>
      <c r="I219" s="22"/>
      <c r="J219" s="45">
        <v>11</v>
      </c>
      <c r="K219" s="22"/>
      <c r="L219" s="22">
        <v>24</v>
      </c>
      <c r="M219" s="28"/>
      <c r="N219" s="28"/>
      <c r="O219" s="76"/>
      <c r="P219" s="146"/>
      <c r="S219" s="75"/>
      <c r="T219" s="25"/>
      <c r="U219" s="25"/>
      <c r="V219" s="25"/>
      <c r="W219" s="25"/>
      <c r="X219" s="25"/>
      <c r="Y219" s="25"/>
    </row>
    <row r="220" spans="1:25" ht="12.75" hidden="1">
      <c r="A220" s="2"/>
      <c r="B220" s="2" t="s">
        <v>105</v>
      </c>
      <c r="D220" s="58"/>
      <c r="E220" s="22"/>
      <c r="F220" s="22">
        <v>0</v>
      </c>
      <c r="G220" s="22"/>
      <c r="H220" s="58"/>
      <c r="I220" s="22"/>
      <c r="J220" s="22">
        <v>0</v>
      </c>
      <c r="K220" s="22"/>
      <c r="L220" s="22">
        <v>0</v>
      </c>
      <c r="M220" s="28"/>
      <c r="N220" s="28"/>
      <c r="O220" s="76"/>
      <c r="P220" s="28"/>
      <c r="S220" s="75"/>
      <c r="T220" s="25"/>
      <c r="U220" s="25"/>
      <c r="V220" s="25"/>
      <c r="W220" s="25"/>
      <c r="X220" s="25"/>
      <c r="Y220" s="25"/>
    </row>
    <row r="221" spans="1:25" ht="12.75">
      <c r="A221" s="2"/>
      <c r="B221" s="2" t="s">
        <v>102</v>
      </c>
      <c r="C221" s="2"/>
      <c r="D221" s="58">
        <f>+H221--5</f>
        <v>-16</v>
      </c>
      <c r="E221" s="22"/>
      <c r="F221" s="22">
        <f>+J221-751</f>
        <v>27</v>
      </c>
      <c r="G221" s="22"/>
      <c r="H221" s="58">
        <v>-21</v>
      </c>
      <c r="I221" s="22"/>
      <c r="J221" s="22">
        <f>722+67-11</f>
        <v>778</v>
      </c>
      <c r="K221" s="22"/>
      <c r="L221" s="22">
        <f>1560+300-21</f>
        <v>1839</v>
      </c>
      <c r="M221" s="28"/>
      <c r="N221" s="28"/>
      <c r="O221" s="76"/>
      <c r="P221" s="28"/>
      <c r="S221" s="75"/>
      <c r="T221" s="25"/>
      <c r="U221" s="25"/>
      <c r="V221" s="25"/>
      <c r="W221" s="25"/>
      <c r="X221" s="25"/>
      <c r="Y221" s="25"/>
    </row>
    <row r="222" spans="1:19" ht="13.5">
      <c r="A222" s="81" t="s">
        <v>106</v>
      </c>
      <c r="B222" s="5"/>
      <c r="D222" s="63"/>
      <c r="E222" s="15"/>
      <c r="F222" s="78"/>
      <c r="G222" s="78"/>
      <c r="H222" s="311"/>
      <c r="I222" s="15"/>
      <c r="J222" s="78"/>
      <c r="K222" s="40"/>
      <c r="L222" s="25"/>
      <c r="M222" s="40"/>
      <c r="N222" s="78"/>
      <c r="O222" s="76"/>
      <c r="P222" s="117"/>
      <c r="S222" s="75"/>
    </row>
    <row r="223" spans="1:19" ht="12.75">
      <c r="A223" s="2"/>
      <c r="B223" s="2" t="s">
        <v>98</v>
      </c>
      <c r="C223" s="2"/>
      <c r="D223" s="228">
        <f>D211</f>
        <v>34011</v>
      </c>
      <c r="E223" s="34"/>
      <c r="F223" s="34">
        <f>F211</f>
        <v>82658</v>
      </c>
      <c r="G223" s="34"/>
      <c r="H223" s="228">
        <f>H211</f>
        <v>68332</v>
      </c>
      <c r="I223" s="34"/>
      <c r="J223" s="34">
        <f>J211</f>
        <v>106099</v>
      </c>
      <c r="K223" s="34"/>
      <c r="L223" s="286">
        <f>L211</f>
        <v>169043</v>
      </c>
      <c r="M223" s="30"/>
      <c r="N223" s="30"/>
      <c r="O223" s="143"/>
      <c r="P223" s="30"/>
      <c r="S223" s="75"/>
    </row>
    <row r="224" spans="1:19" ht="12.75">
      <c r="A224" s="2"/>
      <c r="B224" s="2" t="s">
        <v>99</v>
      </c>
      <c r="C224" s="2"/>
      <c r="D224" s="82">
        <f>D212+D218</f>
        <v>25757</v>
      </c>
      <c r="E224" s="83"/>
      <c r="F224" s="83">
        <f>F212</f>
        <v>29084</v>
      </c>
      <c r="G224" s="83"/>
      <c r="H224" s="82">
        <f>H212+H218</f>
        <v>67957</v>
      </c>
      <c r="I224" s="83"/>
      <c r="J224" s="83">
        <f>J212</f>
        <v>51801</v>
      </c>
      <c r="K224" s="83"/>
      <c r="L224" s="83">
        <f>L212+L218</f>
        <v>182135</v>
      </c>
      <c r="M224" s="107"/>
      <c r="N224" s="107"/>
      <c r="O224" s="143"/>
      <c r="P224" s="107"/>
      <c r="S224" s="75"/>
    </row>
    <row r="225" spans="1:19" ht="12.75">
      <c r="A225" s="2"/>
      <c r="B225" s="2" t="s">
        <v>107</v>
      </c>
      <c r="C225" s="2"/>
      <c r="D225" s="82">
        <f>D213+D219</f>
        <v>51693</v>
      </c>
      <c r="E225" s="83"/>
      <c r="F225" s="83">
        <f>F213+F219</f>
        <v>56739</v>
      </c>
      <c r="G225" s="83"/>
      <c r="H225" s="82">
        <f>H213+H219</f>
        <v>103781</v>
      </c>
      <c r="I225" s="83"/>
      <c r="J225" s="83">
        <f>J213+J219</f>
        <v>101583</v>
      </c>
      <c r="K225" s="83"/>
      <c r="L225" s="83">
        <f>L213+L219</f>
        <v>183083</v>
      </c>
      <c r="M225" s="107"/>
      <c r="N225" s="107"/>
      <c r="O225" s="143"/>
      <c r="P225" s="107"/>
      <c r="S225" s="75"/>
    </row>
    <row r="226" spans="1:19" ht="12.75">
      <c r="A226" s="2"/>
      <c r="B226" s="2" t="s">
        <v>108</v>
      </c>
      <c r="C226" s="2"/>
      <c r="D226" s="82">
        <f>D214</f>
        <v>1265</v>
      </c>
      <c r="E226" s="83"/>
      <c r="F226" s="83">
        <f>F214</f>
        <v>1857</v>
      </c>
      <c r="G226" s="83"/>
      <c r="H226" s="82">
        <f>H214</f>
        <v>2168</v>
      </c>
      <c r="I226" s="83"/>
      <c r="J226" s="83">
        <f>J214</f>
        <v>3389</v>
      </c>
      <c r="K226" s="83" t="e">
        <f>K214+#REF!</f>
        <v>#REF!</v>
      </c>
      <c r="L226" s="83">
        <f>L214</f>
        <v>6000</v>
      </c>
      <c r="M226" s="107"/>
      <c r="N226" s="107"/>
      <c r="O226" s="143"/>
      <c r="P226" s="107"/>
      <c r="S226" s="75"/>
    </row>
    <row r="227" spans="1:19" ht="12.75">
      <c r="A227" s="5"/>
      <c r="B227" s="5" t="s">
        <v>50</v>
      </c>
      <c r="C227" s="5"/>
      <c r="D227" s="82">
        <f>D215+D220</f>
        <v>8002</v>
      </c>
      <c r="E227" s="107"/>
      <c r="F227" s="107">
        <f>F215+F220</f>
        <v>8234</v>
      </c>
      <c r="G227" s="107"/>
      <c r="H227" s="82">
        <f>H215+H220</f>
        <v>18459</v>
      </c>
      <c r="I227" s="107"/>
      <c r="J227" s="107">
        <f>J215+J220</f>
        <v>11400</v>
      </c>
      <c r="K227" s="107"/>
      <c r="L227" s="83">
        <f>L215+L220</f>
        <v>24781</v>
      </c>
      <c r="M227" s="107"/>
      <c r="N227" s="107"/>
      <c r="O227" s="143"/>
      <c r="P227" s="107"/>
      <c r="S227" s="75"/>
    </row>
    <row r="228" spans="1:19" ht="12.75">
      <c r="A228" s="5"/>
      <c r="B228" s="5" t="s">
        <v>109</v>
      </c>
      <c r="C228" s="5"/>
      <c r="D228" s="82">
        <f>D216+D221</f>
        <v>32472</v>
      </c>
      <c r="E228" s="107"/>
      <c r="F228" s="107">
        <f>F216+F221</f>
        <v>45360</v>
      </c>
      <c r="G228" s="107"/>
      <c r="H228" s="82">
        <f>H216+H221</f>
        <v>67255</v>
      </c>
      <c r="I228" s="107"/>
      <c r="J228" s="107">
        <f>J216+J221</f>
        <v>62177</v>
      </c>
      <c r="K228" s="107"/>
      <c r="L228" s="83">
        <f>L216+L221</f>
        <v>153411</v>
      </c>
      <c r="M228" s="107"/>
      <c r="N228" s="107"/>
      <c r="O228" s="143"/>
      <c r="P228" s="107"/>
      <c r="S228" s="75"/>
    </row>
    <row r="229" spans="1:19" ht="4.5" customHeight="1">
      <c r="A229" s="5"/>
      <c r="B229" s="32"/>
      <c r="C229" s="32"/>
      <c r="D229" s="107"/>
      <c r="E229" s="107"/>
      <c r="F229" s="107"/>
      <c r="G229" s="107"/>
      <c r="H229" s="107"/>
      <c r="I229" s="107"/>
      <c r="J229" s="107"/>
      <c r="K229" s="107"/>
      <c r="L229" s="227"/>
      <c r="M229" s="107"/>
      <c r="N229" s="107"/>
      <c r="O229" s="143"/>
      <c r="P229" s="107"/>
      <c r="S229" s="75"/>
    </row>
    <row r="230" spans="1:20" ht="12.75">
      <c r="A230" s="42" t="s">
        <v>4</v>
      </c>
      <c r="B230" s="36" t="s">
        <v>196</v>
      </c>
      <c r="C230" s="99"/>
      <c r="D230" s="91"/>
      <c r="E230" s="91"/>
      <c r="F230" s="91"/>
      <c r="G230" s="91"/>
      <c r="H230" s="91"/>
      <c r="I230" s="91"/>
      <c r="J230" s="91"/>
      <c r="K230" s="91"/>
      <c r="L230" s="91"/>
      <c r="M230" s="23"/>
      <c r="N230" s="23"/>
      <c r="O230" s="76"/>
      <c r="P230" s="76"/>
      <c r="S230" s="23"/>
      <c r="T230" s="75"/>
    </row>
    <row r="231" spans="1:24" ht="12.75">
      <c r="A231" s="42" t="s">
        <v>3</v>
      </c>
      <c r="B231" s="36" t="s">
        <v>110</v>
      </c>
      <c r="C231" s="36"/>
      <c r="D231" s="28"/>
      <c r="E231" s="28"/>
      <c r="F231" s="108" t="s">
        <v>7</v>
      </c>
      <c r="G231" s="108"/>
      <c r="H231" s="108"/>
      <c r="I231" s="108"/>
      <c r="J231" s="108"/>
      <c r="K231" s="28"/>
      <c r="L231" s="28"/>
      <c r="M231" s="28"/>
      <c r="N231" s="28"/>
      <c r="R231" s="28"/>
      <c r="S231" s="28"/>
      <c r="T231" s="32"/>
      <c r="X231" s="16"/>
    </row>
    <row r="232" spans="1:24" ht="12.75">
      <c r="A232" s="42" t="s">
        <v>14</v>
      </c>
      <c r="B232" s="36" t="s">
        <v>111</v>
      </c>
      <c r="C232" s="36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32"/>
      <c r="X232" s="16"/>
    </row>
    <row r="233" spans="1:26" ht="12.75">
      <c r="A233" s="42" t="s">
        <v>51</v>
      </c>
      <c r="B233" s="36" t="s">
        <v>52</v>
      </c>
      <c r="C233" s="36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32"/>
      <c r="Z233" s="16"/>
    </row>
    <row r="234" spans="1:21" ht="12.75">
      <c r="A234" s="42"/>
      <c r="B234" s="36"/>
      <c r="C234" s="36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1:21" ht="12.75">
      <c r="A235" s="170" t="s">
        <v>7</v>
      </c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1:21" ht="15">
      <c r="A236" s="39" t="s">
        <v>149</v>
      </c>
      <c r="B236" s="25"/>
      <c r="D236" s="293"/>
      <c r="L236" s="95" t="s">
        <v>7</v>
      </c>
      <c r="P236" s="22"/>
      <c r="Q236" s="22"/>
      <c r="R236" s="22"/>
      <c r="S236" s="22"/>
      <c r="T236" s="22"/>
      <c r="U236" s="22"/>
    </row>
    <row r="237" spans="1:21" ht="13.5" thickBot="1">
      <c r="A237" s="6" t="s">
        <v>53</v>
      </c>
      <c r="B237" s="6"/>
      <c r="C237" s="6"/>
      <c r="D237" s="80"/>
      <c r="E237" s="51"/>
      <c r="F237" s="51"/>
      <c r="G237" s="51"/>
      <c r="H237" s="51"/>
      <c r="I237" s="51"/>
      <c r="J237" s="51"/>
      <c r="K237" s="51"/>
      <c r="L237" s="51"/>
      <c r="M237" s="28"/>
      <c r="N237" s="28"/>
      <c r="O237" s="28"/>
      <c r="P237" s="28"/>
      <c r="Q237" s="88"/>
      <c r="R237" s="88"/>
      <c r="U237" s="32"/>
    </row>
    <row r="238" spans="1:21" ht="12.75">
      <c r="A238" s="5"/>
      <c r="B238" s="5"/>
      <c r="C238" s="5"/>
      <c r="D238" s="322" t="s">
        <v>8</v>
      </c>
      <c r="E238" s="322"/>
      <c r="F238" s="322"/>
      <c r="G238" s="66"/>
      <c r="H238" s="317" t="s">
        <v>261</v>
      </c>
      <c r="I238" s="317"/>
      <c r="J238" s="317"/>
      <c r="K238" s="125"/>
      <c r="L238" s="279" t="s">
        <v>37</v>
      </c>
      <c r="M238" s="280"/>
      <c r="N238" s="280"/>
      <c r="O238" s="66"/>
      <c r="P238" s="1"/>
      <c r="Q238" s="327"/>
      <c r="R238" s="327"/>
      <c r="U238" s="66"/>
    </row>
    <row r="239" spans="4:21" ht="12.75">
      <c r="D239" s="318" t="s">
        <v>262</v>
      </c>
      <c r="E239" s="318"/>
      <c r="F239" s="318"/>
      <c r="G239" s="1"/>
      <c r="H239" s="316" t="s">
        <v>262</v>
      </c>
      <c r="I239" s="316"/>
      <c r="J239" s="316"/>
      <c r="K239" s="67"/>
      <c r="L239" s="277" t="s">
        <v>6</v>
      </c>
      <c r="M239" s="278"/>
      <c r="N239" s="278"/>
      <c r="O239" s="1"/>
      <c r="P239" s="1"/>
      <c r="Q239" s="326"/>
      <c r="R239" s="326"/>
      <c r="U239" s="1"/>
    </row>
    <row r="240" spans="1:18" ht="12.75">
      <c r="A240" s="13" t="s">
        <v>7</v>
      </c>
      <c r="B240" s="13"/>
      <c r="D240" s="56">
        <v>2010</v>
      </c>
      <c r="E240" s="129"/>
      <c r="F240" s="26">
        <v>2009</v>
      </c>
      <c r="G240" s="68"/>
      <c r="H240" s="290">
        <v>2010</v>
      </c>
      <c r="I240" s="129"/>
      <c r="J240" s="299">
        <v>2009</v>
      </c>
      <c r="K240" s="68"/>
      <c r="L240" s="272">
        <v>2009</v>
      </c>
      <c r="M240" s="114"/>
      <c r="N240" s="68"/>
      <c r="O240" s="68"/>
      <c r="P240" s="84"/>
      <c r="Q240" s="84"/>
      <c r="R240" s="68"/>
    </row>
    <row r="241" spans="1:18" ht="12.75">
      <c r="A241" s="65"/>
      <c r="B241" s="65"/>
      <c r="D241" s="321" t="s">
        <v>5</v>
      </c>
      <c r="E241" s="321"/>
      <c r="F241" s="321"/>
      <c r="G241" s="321"/>
      <c r="H241" s="321"/>
      <c r="I241" s="321"/>
      <c r="J241" s="321"/>
      <c r="K241" s="321"/>
      <c r="L241" s="321"/>
      <c r="M241" s="224"/>
      <c r="N241" s="224"/>
      <c r="O241" s="214"/>
      <c r="P241" s="214"/>
      <c r="Q241" s="321"/>
      <c r="R241" s="321"/>
    </row>
    <row r="242" spans="1:21" ht="12.75">
      <c r="A242" s="2"/>
      <c r="B242" s="2" t="s">
        <v>34</v>
      </c>
      <c r="C242" s="2"/>
      <c r="D242" s="57">
        <f>+H242-46503</f>
        <v>51137</v>
      </c>
      <c r="E242" s="14"/>
      <c r="F242" s="24">
        <f>+J242-91837</f>
        <v>55944</v>
      </c>
      <c r="G242" s="24"/>
      <c r="H242" s="57">
        <f>99201-1561</f>
        <v>97640</v>
      </c>
      <c r="I242" s="269"/>
      <c r="J242" s="24">
        <v>147781</v>
      </c>
      <c r="K242" s="24"/>
      <c r="L242" s="24">
        <v>227840</v>
      </c>
      <c r="M242" s="17"/>
      <c r="N242" s="23"/>
      <c r="O242" s="23"/>
      <c r="P242" s="23"/>
      <c r="U242" s="77"/>
    </row>
    <row r="243" spans="1:21" ht="12.75">
      <c r="A243" s="2"/>
      <c r="B243" s="25" t="s">
        <v>62</v>
      </c>
      <c r="C243" s="2"/>
      <c r="D243" s="58">
        <f>+H243-1398</f>
        <v>1561</v>
      </c>
      <c r="E243" s="16"/>
      <c r="F243" s="22">
        <f>+J243-1828</f>
        <v>869</v>
      </c>
      <c r="G243" s="22"/>
      <c r="H243" s="58">
        <f>1398+1561</f>
        <v>2959</v>
      </c>
      <c r="I243" s="292"/>
      <c r="J243" s="22">
        <v>2697</v>
      </c>
      <c r="K243" s="28"/>
      <c r="L243" s="22">
        <f>150+3150+87</f>
        <v>3387</v>
      </c>
      <c r="M243" s="18"/>
      <c r="N243" s="28"/>
      <c r="O243" s="28"/>
      <c r="P243" s="28"/>
      <c r="U243" s="77"/>
    </row>
    <row r="244" spans="1:16" ht="12.75">
      <c r="A244" s="4"/>
      <c r="B244" s="4" t="s">
        <v>203</v>
      </c>
      <c r="C244" s="2"/>
      <c r="D244" s="60">
        <f>SUM(D241:D243)</f>
        <v>52698</v>
      </c>
      <c r="E244" s="16"/>
      <c r="F244" s="29">
        <f>SUM(F242:F243)</f>
        <v>56813</v>
      </c>
      <c r="G244" s="30"/>
      <c r="H244" s="60">
        <f>SUM(H241:H243)</f>
        <v>100599</v>
      </c>
      <c r="I244" s="16"/>
      <c r="J244" s="29">
        <f>SUM(J242:J243)</f>
        <v>150478</v>
      </c>
      <c r="K244" s="30"/>
      <c r="L244" s="29">
        <f>SUM(L242:L243)</f>
        <v>231227</v>
      </c>
      <c r="M244" s="18"/>
      <c r="N244" s="30"/>
      <c r="O244" s="30"/>
      <c r="P244" s="30"/>
    </row>
    <row r="245" spans="1:21" ht="12.75">
      <c r="A245" s="89"/>
      <c r="C245" s="85"/>
      <c r="D245" s="94"/>
      <c r="E245" s="94"/>
      <c r="F245" s="98"/>
      <c r="G245" s="98"/>
      <c r="H245" s="98"/>
      <c r="I245" s="98"/>
      <c r="J245" s="98"/>
      <c r="K245" s="169"/>
      <c r="L245" s="94"/>
      <c r="M245" s="169"/>
      <c r="N245" s="169"/>
      <c r="O245" s="169"/>
      <c r="P245" s="169"/>
      <c r="U245" s="28"/>
    </row>
    <row r="246" spans="1:20" ht="12.75">
      <c r="A246" s="170" t="s">
        <v>7</v>
      </c>
      <c r="C246" s="5"/>
      <c r="D246" s="50"/>
      <c r="E246" s="52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</row>
    <row r="247" spans="1:20" ht="15">
      <c r="A247" s="39" t="s">
        <v>134</v>
      </c>
      <c r="C247" s="85"/>
      <c r="D247" s="94"/>
      <c r="E247" s="94"/>
      <c r="F247" s="94"/>
      <c r="G247" s="94"/>
      <c r="H247" s="94"/>
      <c r="I247" s="94"/>
      <c r="J247" s="94"/>
      <c r="K247" s="169"/>
      <c r="L247" s="94"/>
      <c r="M247" s="94"/>
      <c r="N247" s="94"/>
      <c r="O247" s="50"/>
      <c r="P247" s="50"/>
      <c r="Q247" s="50"/>
      <c r="R247" s="50"/>
      <c r="S247" s="50"/>
      <c r="T247" s="50"/>
    </row>
    <row r="248" spans="1:20" ht="13.5" thickBot="1">
      <c r="A248" s="38" t="s">
        <v>128</v>
      </c>
      <c r="B248" s="38"/>
      <c r="C248" s="38"/>
      <c r="D248" s="80"/>
      <c r="E248" s="51"/>
      <c r="F248" s="51"/>
      <c r="G248" s="51"/>
      <c r="H248" s="51"/>
      <c r="I248" s="51"/>
      <c r="J248" s="51"/>
      <c r="K248" s="51"/>
      <c r="L248" s="51"/>
      <c r="M248" s="28"/>
      <c r="N248" s="169"/>
      <c r="O248" s="52"/>
      <c r="P248" s="52"/>
      <c r="Q248" s="52"/>
      <c r="R248" s="50"/>
      <c r="S248" s="50"/>
      <c r="T248" s="50"/>
    </row>
    <row r="249" spans="1:20" ht="12.75">
      <c r="A249" s="32"/>
      <c r="B249" s="32"/>
      <c r="C249" s="32"/>
      <c r="D249" s="322" t="s">
        <v>8</v>
      </c>
      <c r="E249" s="322"/>
      <c r="F249" s="322"/>
      <c r="G249" s="66"/>
      <c r="H249" s="317" t="s">
        <v>261</v>
      </c>
      <c r="I249" s="317"/>
      <c r="J249" s="317"/>
      <c r="K249" s="125"/>
      <c r="L249" s="279" t="s">
        <v>37</v>
      </c>
      <c r="M249" s="280"/>
      <c r="N249" s="280"/>
      <c r="O249" s="52"/>
      <c r="P249" s="67"/>
      <c r="Q249" s="52"/>
      <c r="R249" s="50"/>
      <c r="S249" s="50"/>
      <c r="T249" s="50"/>
    </row>
    <row r="250" spans="1:20" ht="12.75">
      <c r="A250" s="25"/>
      <c r="B250" s="25"/>
      <c r="C250" s="25"/>
      <c r="D250" s="318" t="s">
        <v>262</v>
      </c>
      <c r="E250" s="318"/>
      <c r="F250" s="318"/>
      <c r="G250" s="1"/>
      <c r="H250" s="316" t="s">
        <v>262</v>
      </c>
      <c r="I250" s="316"/>
      <c r="J250" s="316"/>
      <c r="K250" s="67"/>
      <c r="L250" s="277" t="s">
        <v>6</v>
      </c>
      <c r="M250" s="278"/>
      <c r="N250" s="278"/>
      <c r="O250" s="52"/>
      <c r="P250" s="67"/>
      <c r="Q250" s="52"/>
      <c r="R250" s="50"/>
      <c r="S250" s="50"/>
      <c r="T250" s="50"/>
    </row>
    <row r="251" spans="1:20" ht="12.75">
      <c r="A251" s="47" t="s">
        <v>7</v>
      </c>
      <c r="B251" s="47"/>
      <c r="C251" s="25"/>
      <c r="D251" s="56">
        <v>2010</v>
      </c>
      <c r="E251" s="129"/>
      <c r="F251" s="26">
        <v>2009</v>
      </c>
      <c r="G251" s="68"/>
      <c r="H251" s="290">
        <v>2010</v>
      </c>
      <c r="I251" s="129"/>
      <c r="J251" s="299">
        <v>2009</v>
      </c>
      <c r="K251" s="68"/>
      <c r="L251" s="272">
        <v>2009</v>
      </c>
      <c r="M251" s="114"/>
      <c r="N251" s="68"/>
      <c r="O251" s="52"/>
      <c r="P251" s="84"/>
      <c r="Q251" s="52"/>
      <c r="R251" s="50"/>
      <c r="S251" s="50"/>
      <c r="T251" s="50"/>
    </row>
    <row r="252" spans="1:20" ht="12.75">
      <c r="A252" s="64"/>
      <c r="B252" s="64"/>
      <c r="C252" s="25"/>
      <c r="D252" s="320" t="s">
        <v>5</v>
      </c>
      <c r="E252" s="320"/>
      <c r="F252" s="320"/>
      <c r="G252" s="320"/>
      <c r="H252" s="320"/>
      <c r="I252" s="320"/>
      <c r="J252" s="320"/>
      <c r="K252" s="320"/>
      <c r="L252" s="320"/>
      <c r="M252" s="218"/>
      <c r="N252" s="218"/>
      <c r="O252" s="216"/>
      <c r="P252" s="216"/>
      <c r="Q252" s="50"/>
      <c r="R252" s="50"/>
      <c r="S252" s="50"/>
      <c r="T252" s="50"/>
    </row>
    <row r="253" spans="1:20" ht="12.75">
      <c r="A253" s="25" t="s">
        <v>129</v>
      </c>
      <c r="C253" s="25"/>
      <c r="D253" s="293"/>
      <c r="M253" s="76"/>
      <c r="N253" s="169"/>
      <c r="O253" s="52"/>
      <c r="P253" s="52"/>
      <c r="Q253" s="50"/>
      <c r="R253" s="50"/>
      <c r="S253" s="50"/>
      <c r="T253" s="50"/>
    </row>
    <row r="254" spans="1:21" s="122" customFormat="1" ht="12.75">
      <c r="A254" s="25"/>
      <c r="B254" s="25" t="s">
        <v>130</v>
      </c>
      <c r="C254" s="25"/>
      <c r="D254" s="57">
        <f>+H254--5457</f>
        <v>-6014</v>
      </c>
      <c r="E254" s="24"/>
      <c r="F254" s="24">
        <f>+J254-1654</f>
        <v>2059</v>
      </c>
      <c r="G254" s="24"/>
      <c r="H254" s="57">
        <v>-11471</v>
      </c>
      <c r="I254" s="305"/>
      <c r="J254" s="24">
        <v>3713</v>
      </c>
      <c r="K254" s="24"/>
      <c r="L254" s="24">
        <f>3713-4666-3515+2706</f>
        <v>-1762</v>
      </c>
      <c r="M254" s="23"/>
      <c r="N254" s="23"/>
      <c r="O254" s="281"/>
      <c r="P254" s="23"/>
      <c r="Q254" s="116"/>
      <c r="R254" s="116"/>
      <c r="S254" s="116"/>
      <c r="T254" s="116"/>
      <c r="U254" s="25"/>
    </row>
    <row r="255" spans="1:21" s="122" customFormat="1" ht="25.5">
      <c r="A255" s="25"/>
      <c r="B255" s="147" t="s">
        <v>254</v>
      </c>
      <c r="C255" s="25"/>
      <c r="D255" s="58">
        <f>+H255-4912</f>
        <v>4926</v>
      </c>
      <c r="E255" s="22"/>
      <c r="F255" s="22">
        <f>+J255-3704</f>
        <v>3986</v>
      </c>
      <c r="G255" s="22"/>
      <c r="H255" s="58">
        <v>9838</v>
      </c>
      <c r="I255" s="307"/>
      <c r="J255" s="22">
        <v>7690</v>
      </c>
      <c r="K255" s="28"/>
      <c r="L255" s="22">
        <f>7690+4666+4988</f>
        <v>17344</v>
      </c>
      <c r="M255" s="28"/>
      <c r="N255" s="28"/>
      <c r="O255" s="281"/>
      <c r="P255" s="28"/>
      <c r="Q255" s="116"/>
      <c r="R255" s="116"/>
      <c r="S255" s="116"/>
      <c r="T255" s="116"/>
      <c r="U255" s="25"/>
    </row>
    <row r="256" spans="1:20" ht="12.75">
      <c r="A256" s="113"/>
      <c r="B256" s="113" t="s">
        <v>131</v>
      </c>
      <c r="C256" s="25"/>
      <c r="D256" s="60">
        <f>SUM(D254:D255)</f>
        <v>-1088</v>
      </c>
      <c r="E256" s="34"/>
      <c r="F256" s="29">
        <f>SUM(F254:F255)</f>
        <v>6045</v>
      </c>
      <c r="G256" s="30"/>
      <c r="H256" s="60">
        <f>SUM(H254:H255)</f>
        <v>-1633</v>
      </c>
      <c r="I256" s="34"/>
      <c r="J256" s="29">
        <f>SUM(J254:J255)</f>
        <v>11403</v>
      </c>
      <c r="K256" s="34"/>
      <c r="L256" s="29">
        <f>SUM(L254:L255)</f>
        <v>15582</v>
      </c>
      <c r="M256" s="23"/>
      <c r="N256" s="30"/>
      <c r="O256" s="52"/>
      <c r="P256" s="30"/>
      <c r="Q256" s="50"/>
      <c r="R256" s="50"/>
      <c r="S256" s="50"/>
      <c r="T256" s="50"/>
    </row>
    <row r="257" spans="1:20" ht="12.75">
      <c r="A257" s="19"/>
      <c r="C257" s="5"/>
      <c r="D257" s="50"/>
      <c r="E257" s="52"/>
      <c r="F257" s="283"/>
      <c r="G257" s="283"/>
      <c r="H257" s="50"/>
      <c r="I257" s="52"/>
      <c r="J257" s="283"/>
      <c r="K257" s="50"/>
      <c r="L257" s="287"/>
      <c r="M257" s="52"/>
      <c r="N257" s="282"/>
      <c r="O257" s="52"/>
      <c r="P257" s="52"/>
      <c r="Q257" s="50"/>
      <c r="R257" s="50"/>
      <c r="S257" s="50"/>
      <c r="T257" s="50"/>
    </row>
    <row r="258" spans="1:20" ht="12.75">
      <c r="A258" s="25" t="s">
        <v>146</v>
      </c>
      <c r="C258" s="25"/>
      <c r="F258" s="284"/>
      <c r="G258" s="284"/>
      <c r="J258" s="296"/>
      <c r="L258" s="221"/>
      <c r="M258" s="76"/>
      <c r="N258" s="169"/>
      <c r="O258" s="52"/>
      <c r="P258" s="52"/>
      <c r="Q258" s="50"/>
      <c r="R258" s="50"/>
      <c r="S258" s="50"/>
      <c r="T258" s="50"/>
    </row>
    <row r="259" spans="1:21" s="122" customFormat="1" ht="12.75">
      <c r="A259" s="25"/>
      <c r="B259" s="25" t="s">
        <v>130</v>
      </c>
      <c r="C259" s="25"/>
      <c r="D259" s="57">
        <f>+H259-(-689+4301-998)</f>
        <v>-3425</v>
      </c>
      <c r="E259" s="24"/>
      <c r="F259" s="24">
        <f>+J259-1596</f>
        <v>6262</v>
      </c>
      <c r="G259" s="24"/>
      <c r="H259" s="57">
        <f>-689+4301-998-3425</f>
        <v>-811</v>
      </c>
      <c r="I259" s="305"/>
      <c r="J259" s="24">
        <v>7858</v>
      </c>
      <c r="K259" s="24"/>
      <c r="L259" s="24">
        <f>2994-1334-226</f>
        <v>1434</v>
      </c>
      <c r="M259" s="23"/>
      <c r="N259" s="23"/>
      <c r="O259" s="281"/>
      <c r="P259" s="23"/>
      <c r="Q259" s="116"/>
      <c r="R259" s="116"/>
      <c r="S259" s="116"/>
      <c r="T259" s="116"/>
      <c r="U259" s="25"/>
    </row>
    <row r="260" spans="1:21" s="122" customFormat="1" ht="27" customHeight="1">
      <c r="A260" s="25"/>
      <c r="B260" s="147" t="s">
        <v>255</v>
      </c>
      <c r="C260" s="25"/>
      <c r="D260" s="58">
        <f>+H260-(-971-171+91)</f>
        <v>0</v>
      </c>
      <c r="E260" s="22"/>
      <c r="F260" s="22">
        <f>+J260-0</f>
        <v>-44</v>
      </c>
      <c r="G260" s="22"/>
      <c r="H260" s="58">
        <f>-971-171+91</f>
        <v>-1051</v>
      </c>
      <c r="I260" s="307"/>
      <c r="J260" s="22">
        <v>-44</v>
      </c>
      <c r="K260" s="28"/>
      <c r="L260" s="22">
        <f>-1275-161</f>
        <v>-1436</v>
      </c>
      <c r="M260" s="28"/>
      <c r="N260" s="28"/>
      <c r="O260" s="281"/>
      <c r="P260" s="28"/>
      <c r="Q260" s="116"/>
      <c r="R260" s="116"/>
      <c r="S260" s="116"/>
      <c r="T260" s="116"/>
      <c r="U260" s="25"/>
    </row>
    <row r="261" spans="1:20" ht="12.75">
      <c r="A261" s="113"/>
      <c r="B261" s="113" t="s">
        <v>147</v>
      </c>
      <c r="C261" s="25"/>
      <c r="D261" s="60">
        <f>SUM(D259:D260)</f>
        <v>-3425</v>
      </c>
      <c r="E261" s="34"/>
      <c r="F261" s="29">
        <f>SUM(F259:F260)</f>
        <v>6218</v>
      </c>
      <c r="G261" s="30"/>
      <c r="H261" s="60">
        <f>SUM(H259:H260)</f>
        <v>-1862</v>
      </c>
      <c r="I261" s="34"/>
      <c r="J261" s="29">
        <f>SUM(J259:J260)</f>
        <v>7814</v>
      </c>
      <c r="K261" s="34"/>
      <c r="L261" s="29">
        <f>SUM(L259:L260)</f>
        <v>-2</v>
      </c>
      <c r="M261" s="23"/>
      <c r="N261" s="30"/>
      <c r="O261" s="52"/>
      <c r="P261" s="30"/>
      <c r="Q261" s="50"/>
      <c r="R261" s="50"/>
      <c r="S261" s="50"/>
      <c r="T261" s="50"/>
    </row>
    <row r="262" spans="1:20" ht="12.75">
      <c r="A262" s="32"/>
      <c r="B262" s="32"/>
      <c r="C262" s="25"/>
      <c r="D262" s="201"/>
      <c r="E262" s="202"/>
      <c r="F262" s="201"/>
      <c r="G262" s="201"/>
      <c r="H262" s="201"/>
      <c r="I262" s="201"/>
      <c r="J262" s="201"/>
      <c r="K262" s="202"/>
      <c r="L262" s="201"/>
      <c r="M262" s="23"/>
      <c r="N262" s="30"/>
      <c r="O262" s="52"/>
      <c r="P262" s="30"/>
      <c r="Q262" s="50"/>
      <c r="R262" s="50"/>
      <c r="S262" s="50"/>
      <c r="T262" s="50"/>
    </row>
    <row r="263" spans="1:20" ht="12.75">
      <c r="A263" s="19"/>
      <c r="C263" s="5"/>
      <c r="D263" s="50"/>
      <c r="E263" s="52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</row>
    <row r="264" spans="1:27" ht="15.75" thickBot="1">
      <c r="A264" s="54" t="s">
        <v>135</v>
      </c>
      <c r="B264" s="38"/>
      <c r="C264" s="6"/>
      <c r="D264" s="204"/>
      <c r="E264" s="51" t="s">
        <v>7</v>
      </c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28"/>
      <c r="R264" s="28"/>
      <c r="S264" s="28"/>
      <c r="T264" s="28"/>
      <c r="U264" s="32"/>
      <c r="V264" s="32"/>
      <c r="W264" s="28"/>
      <c r="X264" s="28"/>
      <c r="AA264" s="5"/>
    </row>
    <row r="265" spans="1:23" ht="12.75" customHeight="1">
      <c r="A265" s="44"/>
      <c r="C265" s="5"/>
      <c r="D265" s="21"/>
      <c r="E265" s="21"/>
      <c r="F265" s="15"/>
      <c r="G265" s="15"/>
      <c r="H265" s="15"/>
      <c r="I265" s="15"/>
      <c r="J265" s="15"/>
      <c r="K265" s="15"/>
      <c r="L265" s="15" t="s">
        <v>40</v>
      </c>
      <c r="M265" s="15"/>
      <c r="N265" s="15"/>
      <c r="O265" s="15"/>
      <c r="P265" s="15"/>
      <c r="W265" s="2"/>
    </row>
    <row r="266" spans="3:23" ht="12.75" customHeight="1">
      <c r="C266" s="5"/>
      <c r="D266" s="15" t="s">
        <v>46</v>
      </c>
      <c r="E266" s="15"/>
      <c r="F266" s="21" t="s">
        <v>140</v>
      </c>
      <c r="G266" s="21"/>
      <c r="H266" s="15" t="s">
        <v>10</v>
      </c>
      <c r="I266" s="15"/>
      <c r="J266" s="15" t="s">
        <v>19</v>
      </c>
      <c r="K266" s="15" t="s">
        <v>7</v>
      </c>
      <c r="L266" s="21" t="s">
        <v>41</v>
      </c>
      <c r="M266" s="21"/>
      <c r="N266" s="21"/>
      <c r="O266" s="21"/>
      <c r="P266" s="15"/>
      <c r="W266" s="2"/>
    </row>
    <row r="267" spans="3:23" ht="12.75" customHeight="1">
      <c r="C267" s="5"/>
      <c r="D267" s="69" t="s">
        <v>47</v>
      </c>
      <c r="E267" s="69"/>
      <c r="F267" s="21" t="s">
        <v>39</v>
      </c>
      <c r="G267" s="21"/>
      <c r="H267" s="15" t="s">
        <v>21</v>
      </c>
      <c r="I267" s="15"/>
      <c r="J267" s="15" t="s">
        <v>35</v>
      </c>
      <c r="K267" s="15" t="s">
        <v>7</v>
      </c>
      <c r="L267" s="21" t="s">
        <v>43</v>
      </c>
      <c r="M267" s="21"/>
      <c r="N267" s="21" t="s">
        <v>44</v>
      </c>
      <c r="O267" s="21"/>
      <c r="P267" s="21" t="s">
        <v>11</v>
      </c>
      <c r="W267" s="2"/>
    </row>
    <row r="268" spans="1:16" ht="12.75" customHeight="1">
      <c r="A268" s="200"/>
      <c r="B268" s="105"/>
      <c r="D268" s="118" t="s">
        <v>48</v>
      </c>
      <c r="E268" s="119"/>
      <c r="F268" s="118" t="s">
        <v>48</v>
      </c>
      <c r="G268" s="120"/>
      <c r="H268" s="118" t="s">
        <v>12</v>
      </c>
      <c r="I268" s="119"/>
      <c r="J268" s="118" t="s">
        <v>20</v>
      </c>
      <c r="K268" s="119" t="s">
        <v>7</v>
      </c>
      <c r="L268" s="118" t="s">
        <v>42</v>
      </c>
      <c r="M268" s="119"/>
      <c r="N268" s="118" t="s">
        <v>64</v>
      </c>
      <c r="O268" s="119"/>
      <c r="P268" s="118" t="s">
        <v>13</v>
      </c>
    </row>
    <row r="269" spans="1:23" ht="12.75" customHeight="1">
      <c r="A269" s="144"/>
      <c r="B269" s="144"/>
      <c r="C269" s="5"/>
      <c r="D269" s="224" t="s">
        <v>5</v>
      </c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W269" s="145"/>
    </row>
    <row r="270" spans="1:23" s="122" customFormat="1" ht="12.75">
      <c r="A270" s="32" t="s">
        <v>115</v>
      </c>
      <c r="B270" s="25"/>
      <c r="C270" s="25"/>
      <c r="D270" s="141">
        <v>78208</v>
      </c>
      <c r="E270" s="141"/>
      <c r="F270" s="141">
        <v>-1868</v>
      </c>
      <c r="G270" s="141"/>
      <c r="H270" s="141">
        <v>134658</v>
      </c>
      <c r="I270" s="141"/>
      <c r="J270" s="141">
        <v>963334</v>
      </c>
      <c r="K270" s="141"/>
      <c r="L270" s="141">
        <v>-34662</v>
      </c>
      <c r="M270" s="141"/>
      <c r="N270" s="141">
        <v>10</v>
      </c>
      <c r="O270" s="141"/>
      <c r="P270" s="141">
        <v>1139680</v>
      </c>
      <c r="Q270" s="45"/>
      <c r="R270" s="25"/>
      <c r="S270" s="25"/>
      <c r="T270" s="25"/>
      <c r="U270" s="25"/>
      <c r="V270" s="25"/>
      <c r="W270" s="25"/>
    </row>
    <row r="271" spans="1:23" s="122" customFormat="1" ht="13.5">
      <c r="A271" s="81" t="s">
        <v>116</v>
      </c>
      <c r="B271" s="25"/>
      <c r="C271" s="2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25"/>
      <c r="S271" s="25"/>
      <c r="T271" s="25"/>
      <c r="U271" s="25"/>
      <c r="V271" s="25"/>
      <c r="W271" s="25"/>
    </row>
    <row r="272" spans="2:23" s="122" customFormat="1" ht="12.75">
      <c r="B272" s="25" t="s">
        <v>112</v>
      </c>
      <c r="C272" s="25"/>
      <c r="D272" s="45">
        <v>0</v>
      </c>
      <c r="E272" s="45"/>
      <c r="F272" s="45">
        <v>0</v>
      </c>
      <c r="G272" s="45"/>
      <c r="H272" s="45">
        <v>0</v>
      </c>
      <c r="I272" s="45"/>
      <c r="J272" s="45">
        <v>54164</v>
      </c>
      <c r="K272" s="45"/>
      <c r="L272" s="45">
        <v>5401</v>
      </c>
      <c r="M272" s="45"/>
      <c r="N272" s="45">
        <v>0</v>
      </c>
      <c r="O272" s="45"/>
      <c r="P272" s="45">
        <v>59565</v>
      </c>
      <c r="Q272" s="45"/>
      <c r="R272" s="25"/>
      <c r="S272" s="25"/>
      <c r="T272" s="25"/>
      <c r="U272" s="25"/>
      <c r="V272" s="25"/>
      <c r="W272" s="25"/>
    </row>
    <row r="273" spans="1:23" s="122" customFormat="1" ht="12.75">
      <c r="A273" s="148"/>
      <c r="B273" s="105" t="s">
        <v>45</v>
      </c>
      <c r="C273" s="105"/>
      <c r="D273" s="46">
        <v>0</v>
      </c>
      <c r="E273" s="45"/>
      <c r="F273" s="46">
        <v>0</v>
      </c>
      <c r="G273" s="53"/>
      <c r="H273" s="46">
        <v>3488</v>
      </c>
      <c r="I273" s="45"/>
      <c r="J273" s="46">
        <v>0</v>
      </c>
      <c r="K273" s="45"/>
      <c r="L273" s="46">
        <v>0</v>
      </c>
      <c r="M273" s="45"/>
      <c r="N273" s="46">
        <v>0</v>
      </c>
      <c r="O273" s="45"/>
      <c r="P273" s="46">
        <v>3488</v>
      </c>
      <c r="Q273" s="45"/>
      <c r="R273" s="25"/>
      <c r="S273" s="25"/>
      <c r="T273" s="25"/>
      <c r="U273" s="25"/>
      <c r="V273" s="25"/>
      <c r="W273" s="25"/>
    </row>
    <row r="274" spans="1:23" s="123" customFormat="1" ht="12.75">
      <c r="A274" s="32" t="s">
        <v>117</v>
      </c>
      <c r="B274" s="32"/>
      <c r="C274" s="32"/>
      <c r="D274" s="111">
        <v>78208</v>
      </c>
      <c r="E274" s="111"/>
      <c r="F274" s="111">
        <v>-1868</v>
      </c>
      <c r="G274" s="111"/>
      <c r="H274" s="111">
        <v>138146</v>
      </c>
      <c r="I274" s="111"/>
      <c r="J274" s="111">
        <v>1017498</v>
      </c>
      <c r="K274" s="111"/>
      <c r="L274" s="111">
        <v>-29261</v>
      </c>
      <c r="M274" s="111"/>
      <c r="N274" s="111">
        <v>10</v>
      </c>
      <c r="O274" s="111"/>
      <c r="P274" s="111">
        <v>1202733</v>
      </c>
      <c r="Q274" s="32"/>
      <c r="R274" s="32"/>
      <c r="S274" s="32"/>
      <c r="T274" s="32"/>
      <c r="U274" s="32"/>
      <c r="V274" s="32"/>
      <c r="W274" s="32"/>
    </row>
    <row r="275" spans="1:23" s="122" customFormat="1" ht="13.5">
      <c r="A275" s="81" t="s">
        <v>119</v>
      </c>
      <c r="B275" s="25"/>
      <c r="C275" s="2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25"/>
      <c r="S275" s="25"/>
      <c r="T275" s="25"/>
      <c r="U275" s="25"/>
      <c r="V275" s="25"/>
      <c r="W275" s="25"/>
    </row>
    <row r="276" spans="2:23" s="122" customFormat="1" ht="12.75">
      <c r="B276" s="25" t="s">
        <v>112</v>
      </c>
      <c r="C276" s="25"/>
      <c r="D276" s="45">
        <v>0</v>
      </c>
      <c r="E276" s="45"/>
      <c r="F276" s="45">
        <v>0</v>
      </c>
      <c r="G276" s="45"/>
      <c r="H276" s="45">
        <v>0</v>
      </c>
      <c r="I276" s="45"/>
      <c r="J276" s="45">
        <v>41042</v>
      </c>
      <c r="K276" s="45"/>
      <c r="L276" s="45">
        <v>10617</v>
      </c>
      <c r="M276" s="45"/>
      <c r="N276" s="45">
        <v>-2</v>
      </c>
      <c r="O276" s="45"/>
      <c r="P276" s="45">
        <v>51657</v>
      </c>
      <c r="Q276" s="174"/>
      <c r="R276" s="25"/>
      <c r="S276" s="25"/>
      <c r="T276" s="25"/>
      <c r="U276" s="25"/>
      <c r="V276" s="25"/>
      <c r="W276" s="25"/>
    </row>
    <row r="277" spans="2:23" s="122" customFormat="1" ht="12.75">
      <c r="B277" s="25" t="s">
        <v>257</v>
      </c>
      <c r="C277" s="25"/>
      <c r="D277" s="45">
        <v>8375</v>
      </c>
      <c r="E277" s="45"/>
      <c r="F277" s="45">
        <v>0</v>
      </c>
      <c r="G277" s="45"/>
      <c r="H277" s="45">
        <v>91083</v>
      </c>
      <c r="I277" s="45"/>
      <c r="J277" s="45">
        <v>0</v>
      </c>
      <c r="K277" s="45"/>
      <c r="L277" s="45">
        <v>0</v>
      </c>
      <c r="M277" s="45"/>
      <c r="N277" s="45">
        <v>0</v>
      </c>
      <c r="O277" s="45"/>
      <c r="P277" s="45">
        <v>99458</v>
      </c>
      <c r="Q277" s="174"/>
      <c r="R277" s="25"/>
      <c r="S277" s="25"/>
      <c r="T277" s="25"/>
      <c r="U277" s="25"/>
      <c r="V277" s="25"/>
      <c r="W277" s="25"/>
    </row>
    <row r="278" spans="2:23" s="122" customFormat="1" ht="12.75">
      <c r="B278" s="25" t="s">
        <v>258</v>
      </c>
      <c r="C278" s="25"/>
      <c r="D278" s="45">
        <v>0</v>
      </c>
      <c r="E278" s="45"/>
      <c r="F278" s="45">
        <v>1779</v>
      </c>
      <c r="G278" s="45"/>
      <c r="H278" s="45">
        <v>0</v>
      </c>
      <c r="I278" s="45"/>
      <c r="J278" s="45">
        <v>18497</v>
      </c>
      <c r="K278" s="45"/>
      <c r="L278" s="45">
        <v>0</v>
      </c>
      <c r="M278" s="45"/>
      <c r="N278" s="45">
        <v>0</v>
      </c>
      <c r="O278" s="45"/>
      <c r="P278" s="45">
        <v>20276</v>
      </c>
      <c r="Q278" s="45"/>
      <c r="R278" s="25"/>
      <c r="S278" s="25"/>
      <c r="T278" s="25"/>
      <c r="U278" s="25"/>
      <c r="V278" s="25"/>
      <c r="W278" s="25"/>
    </row>
    <row r="279" spans="2:23" s="122" customFormat="1" ht="12.75">
      <c r="B279" s="25" t="s">
        <v>63</v>
      </c>
      <c r="C279" s="32"/>
      <c r="D279" s="45">
        <v>0</v>
      </c>
      <c r="E279" s="45"/>
      <c r="F279" s="45">
        <v>0</v>
      </c>
      <c r="G279" s="45"/>
      <c r="H279" s="45">
        <v>0</v>
      </c>
      <c r="I279" s="45"/>
      <c r="J279" s="45">
        <v>0</v>
      </c>
      <c r="K279" s="45"/>
      <c r="L279" s="45">
        <v>0</v>
      </c>
      <c r="M279" s="45"/>
      <c r="N279" s="45">
        <v>-5</v>
      </c>
      <c r="O279" s="45"/>
      <c r="P279" s="45">
        <v>-5</v>
      </c>
      <c r="Q279" s="45"/>
      <c r="R279" s="25"/>
      <c r="S279" s="25"/>
      <c r="T279" s="25"/>
      <c r="U279" s="25"/>
      <c r="V279" s="25"/>
      <c r="W279" s="25"/>
    </row>
    <row r="280" spans="1:23" s="122" customFormat="1" ht="12.75">
      <c r="A280" s="88"/>
      <c r="B280" s="32" t="s">
        <v>45</v>
      </c>
      <c r="C280" s="32"/>
      <c r="D280" s="53">
        <v>0</v>
      </c>
      <c r="E280" s="53"/>
      <c r="F280" s="53">
        <v>0</v>
      </c>
      <c r="G280" s="53"/>
      <c r="H280" s="53">
        <v>3599</v>
      </c>
      <c r="I280" s="53"/>
      <c r="J280" s="53">
        <v>0</v>
      </c>
      <c r="K280" s="53"/>
      <c r="L280" s="53">
        <v>0</v>
      </c>
      <c r="M280" s="53"/>
      <c r="N280" s="53">
        <v>0</v>
      </c>
      <c r="O280" s="53"/>
      <c r="P280" s="53">
        <v>3599</v>
      </c>
      <c r="Q280" s="53"/>
      <c r="R280" s="25"/>
      <c r="S280" s="25"/>
      <c r="T280" s="25"/>
      <c r="U280" s="25"/>
      <c r="V280" s="25"/>
      <c r="W280" s="25"/>
    </row>
    <row r="281" spans="1:23" s="122" customFormat="1" ht="12.75">
      <c r="A281" s="148"/>
      <c r="B281" s="105" t="s">
        <v>114</v>
      </c>
      <c r="C281" s="105"/>
      <c r="D281" s="46">
        <v>0</v>
      </c>
      <c r="E281" s="45"/>
      <c r="F281" s="46">
        <v>0</v>
      </c>
      <c r="G281" s="53"/>
      <c r="H281" s="46">
        <v>0</v>
      </c>
      <c r="I281" s="45"/>
      <c r="J281" s="46">
        <v>-16</v>
      </c>
      <c r="K281" s="45"/>
      <c r="L281" s="46">
        <v>0</v>
      </c>
      <c r="M281" s="45"/>
      <c r="N281" s="46">
        <v>0</v>
      </c>
      <c r="O281" s="45"/>
      <c r="P281" s="46">
        <v>-16</v>
      </c>
      <c r="Q281" s="45"/>
      <c r="R281" s="25"/>
      <c r="S281" s="25"/>
      <c r="T281" s="25"/>
      <c r="U281" s="25"/>
      <c r="V281" s="25"/>
      <c r="W281" s="25"/>
    </row>
    <row r="282" spans="1:23" s="123" customFormat="1" ht="12.75">
      <c r="A282" s="32" t="s">
        <v>118</v>
      </c>
      <c r="B282" s="32"/>
      <c r="C282" s="32"/>
      <c r="D282" s="111">
        <v>86583</v>
      </c>
      <c r="E282" s="111"/>
      <c r="F282" s="111">
        <v>-89</v>
      </c>
      <c r="G282" s="111"/>
      <c r="H282" s="111">
        <v>232828</v>
      </c>
      <c r="I282" s="111">
        <v>0</v>
      </c>
      <c r="J282" s="111">
        <v>1077021</v>
      </c>
      <c r="K282" s="111">
        <v>0</v>
      </c>
      <c r="L282" s="111">
        <v>-18644</v>
      </c>
      <c r="M282" s="111">
        <v>0</v>
      </c>
      <c r="N282" s="111">
        <v>3</v>
      </c>
      <c r="O282" s="111">
        <v>0</v>
      </c>
      <c r="P282" s="111">
        <v>1377702</v>
      </c>
      <c r="Q282" s="32"/>
      <c r="R282" s="32"/>
      <c r="S282" s="32"/>
      <c r="T282" s="32"/>
      <c r="U282" s="32"/>
      <c r="V282" s="32"/>
      <c r="W282" s="32"/>
    </row>
    <row r="283" spans="1:23" s="122" customFormat="1" ht="13.5">
      <c r="A283" s="81" t="s">
        <v>162</v>
      </c>
      <c r="B283" s="25"/>
      <c r="C283" s="2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25"/>
      <c r="S283" s="25"/>
      <c r="T283" s="25"/>
      <c r="U283" s="25"/>
      <c r="V283" s="25"/>
      <c r="W283" s="25"/>
    </row>
    <row r="284" spans="2:23" s="122" customFormat="1" ht="12.75">
      <c r="B284" s="25" t="s">
        <v>112</v>
      </c>
      <c r="C284" s="25"/>
      <c r="D284" s="212">
        <v>0</v>
      </c>
      <c r="E284" s="212"/>
      <c r="F284" s="212">
        <v>0</v>
      </c>
      <c r="G284" s="212"/>
      <c r="H284" s="212">
        <v>0</v>
      </c>
      <c r="I284" s="212"/>
      <c r="J284" s="212">
        <v>47748</v>
      </c>
      <c r="K284" s="212"/>
      <c r="L284" s="212">
        <v>-8525</v>
      </c>
      <c r="M284" s="212"/>
      <c r="N284" s="212">
        <v>-1</v>
      </c>
      <c r="O284" s="212"/>
      <c r="P284" s="212">
        <v>39222</v>
      </c>
      <c r="Q284" s="45"/>
      <c r="R284" s="25"/>
      <c r="S284" s="25"/>
      <c r="T284" s="25"/>
      <c r="U284" s="25"/>
      <c r="V284" s="25"/>
      <c r="W284" s="25"/>
    </row>
    <row r="285" spans="1:23" s="122" customFormat="1" ht="12.75">
      <c r="A285" s="148"/>
      <c r="B285" s="105" t="s">
        <v>45</v>
      </c>
      <c r="C285" s="105"/>
      <c r="D285" s="46">
        <v>0</v>
      </c>
      <c r="E285" s="45"/>
      <c r="F285" s="46">
        <v>0</v>
      </c>
      <c r="G285" s="53"/>
      <c r="H285" s="46">
        <v>2305</v>
      </c>
      <c r="I285" s="45"/>
      <c r="J285" s="46">
        <v>0</v>
      </c>
      <c r="K285" s="45"/>
      <c r="L285" s="46">
        <v>0</v>
      </c>
      <c r="M285" s="45"/>
      <c r="N285" s="46">
        <v>0</v>
      </c>
      <c r="O285" s="45"/>
      <c r="P285" s="46">
        <v>2305</v>
      </c>
      <c r="Q285" s="45"/>
      <c r="R285" s="25"/>
      <c r="S285" s="25"/>
      <c r="T285" s="25"/>
      <c r="U285" s="25"/>
      <c r="V285" s="25"/>
      <c r="W285" s="25"/>
    </row>
    <row r="286" spans="1:23" s="123" customFormat="1" ht="12.75">
      <c r="A286" s="32" t="s">
        <v>163</v>
      </c>
      <c r="B286" s="32"/>
      <c r="C286" s="32"/>
      <c r="D286" s="111">
        <v>86583</v>
      </c>
      <c r="E286" s="111"/>
      <c r="F286" s="111">
        <v>-89</v>
      </c>
      <c r="G286" s="111"/>
      <c r="H286" s="111">
        <v>235133</v>
      </c>
      <c r="I286" s="111"/>
      <c r="J286" s="111">
        <v>1124769</v>
      </c>
      <c r="K286" s="111"/>
      <c r="L286" s="111">
        <v>-27169</v>
      </c>
      <c r="M286" s="111"/>
      <c r="N286" s="111">
        <v>2</v>
      </c>
      <c r="O286" s="111"/>
      <c r="P286" s="111">
        <v>1419229</v>
      </c>
      <c r="Q286" s="32"/>
      <c r="R286" s="32"/>
      <c r="S286" s="32"/>
      <c r="T286" s="32"/>
      <c r="U286" s="32"/>
      <c r="V286" s="32"/>
      <c r="W286" s="32"/>
    </row>
    <row r="287" spans="1:23" s="123" customFormat="1" ht="13.5">
      <c r="A287" s="81" t="s">
        <v>168</v>
      </c>
      <c r="B287" s="32"/>
      <c r="C287" s="32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32"/>
      <c r="R287" s="32"/>
      <c r="S287" s="32"/>
      <c r="T287" s="32"/>
      <c r="U287" s="32"/>
      <c r="V287" s="32"/>
      <c r="W287" s="32"/>
    </row>
    <row r="288" spans="2:23" s="210" customFormat="1" ht="12.75">
      <c r="B288" s="25" t="s">
        <v>112</v>
      </c>
      <c r="C288" s="25"/>
      <c r="D288" s="45">
        <v>0</v>
      </c>
      <c r="E288" s="45"/>
      <c r="F288" s="45">
        <v>0</v>
      </c>
      <c r="G288" s="45"/>
      <c r="H288" s="45">
        <v>0</v>
      </c>
      <c r="I288" s="45"/>
      <c r="J288" s="45">
        <v>22871</v>
      </c>
      <c r="K288" s="45"/>
      <c r="L288" s="45">
        <v>3725</v>
      </c>
      <c r="M288" s="45"/>
      <c r="N288" s="45">
        <v>2097</v>
      </c>
      <c r="O288" s="45"/>
      <c r="P288" s="45">
        <v>28693</v>
      </c>
      <c r="Q288" s="213"/>
      <c r="R288" s="211"/>
      <c r="S288" s="211"/>
      <c r="T288" s="211"/>
      <c r="U288" s="211"/>
      <c r="V288" s="211"/>
      <c r="W288" s="211"/>
    </row>
    <row r="289" spans="2:23" s="210" customFormat="1" ht="12.75">
      <c r="B289" s="25" t="s">
        <v>63</v>
      </c>
      <c r="C289" s="25"/>
      <c r="D289" s="45">
        <v>0</v>
      </c>
      <c r="E289" s="45"/>
      <c r="F289" s="45">
        <v>0</v>
      </c>
      <c r="G289" s="45"/>
      <c r="H289" s="45">
        <v>0</v>
      </c>
      <c r="I289" s="45"/>
      <c r="J289" s="45">
        <v>0</v>
      </c>
      <c r="K289" s="45"/>
      <c r="L289" s="45">
        <v>0</v>
      </c>
      <c r="M289" s="45"/>
      <c r="N289" s="45">
        <v>-1294</v>
      </c>
      <c r="O289" s="45"/>
      <c r="P289" s="45">
        <v>-1294</v>
      </c>
      <c r="Q289" s="213"/>
      <c r="R289" s="211"/>
      <c r="S289" s="211"/>
      <c r="T289" s="211"/>
      <c r="U289" s="211"/>
      <c r="V289" s="211"/>
      <c r="W289" s="211"/>
    </row>
    <row r="290" spans="2:23" s="210" customFormat="1" ht="12.75">
      <c r="B290" s="32" t="s">
        <v>113</v>
      </c>
      <c r="C290" s="25"/>
      <c r="D290" s="45">
        <v>0</v>
      </c>
      <c r="E290" s="45"/>
      <c r="F290" s="45">
        <v>89</v>
      </c>
      <c r="G290" s="45"/>
      <c r="H290" s="45">
        <v>0</v>
      </c>
      <c r="I290" s="45"/>
      <c r="J290" s="45">
        <v>-89</v>
      </c>
      <c r="K290" s="45"/>
      <c r="L290" s="45">
        <v>0</v>
      </c>
      <c r="M290" s="45"/>
      <c r="N290" s="45">
        <v>0</v>
      </c>
      <c r="O290" s="45"/>
      <c r="P290" s="45">
        <v>0</v>
      </c>
      <c r="Q290" s="213"/>
      <c r="R290" s="211"/>
      <c r="S290" s="211"/>
      <c r="T290" s="211"/>
      <c r="U290" s="211"/>
      <c r="V290" s="211"/>
      <c r="W290" s="211"/>
    </row>
    <row r="291" spans="1:23" s="208" customFormat="1" ht="12.75">
      <c r="A291" s="285"/>
      <c r="B291" s="105" t="s">
        <v>45</v>
      </c>
      <c r="C291" s="105"/>
      <c r="D291" s="46">
        <v>0</v>
      </c>
      <c r="E291" s="45"/>
      <c r="F291" s="46">
        <v>0</v>
      </c>
      <c r="G291" s="53"/>
      <c r="H291" s="46">
        <v>2409</v>
      </c>
      <c r="I291" s="45"/>
      <c r="J291" s="46">
        <v>0</v>
      </c>
      <c r="K291" s="45"/>
      <c r="L291" s="46">
        <v>0</v>
      </c>
      <c r="M291" s="45"/>
      <c r="N291" s="46">
        <v>0</v>
      </c>
      <c r="O291" s="45"/>
      <c r="P291" s="46">
        <v>2409</v>
      </c>
      <c r="Q291" s="53"/>
      <c r="R291" s="25"/>
      <c r="S291" s="25"/>
      <c r="T291" s="25"/>
      <c r="U291" s="25"/>
      <c r="V291" s="25"/>
      <c r="W291" s="25"/>
    </row>
    <row r="292" spans="1:23" s="208" customFormat="1" ht="12.75">
      <c r="A292" s="32" t="s">
        <v>169</v>
      </c>
      <c r="B292" s="32"/>
      <c r="C292" s="32"/>
      <c r="D292" s="111">
        <v>86583</v>
      </c>
      <c r="E292" s="111"/>
      <c r="F292" s="111">
        <v>0</v>
      </c>
      <c r="G292" s="111"/>
      <c r="H292" s="111">
        <v>237542</v>
      </c>
      <c r="I292" s="111"/>
      <c r="J292" s="111">
        <v>1147551</v>
      </c>
      <c r="K292" s="111"/>
      <c r="L292" s="111">
        <v>-23444</v>
      </c>
      <c r="M292" s="111"/>
      <c r="N292" s="111">
        <v>805</v>
      </c>
      <c r="O292" s="111"/>
      <c r="P292" s="111">
        <v>1449037</v>
      </c>
      <c r="Q292" s="53"/>
      <c r="R292" s="25"/>
      <c r="S292" s="25"/>
      <c r="T292" s="25"/>
      <c r="U292" s="25"/>
      <c r="V292" s="25"/>
      <c r="W292" s="25"/>
    </row>
    <row r="293" spans="1:23" s="208" customFormat="1" ht="13.5">
      <c r="A293" s="81" t="s">
        <v>246</v>
      </c>
      <c r="B293" s="32"/>
      <c r="C293" s="32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53"/>
      <c r="R293" s="25"/>
      <c r="S293" s="25"/>
      <c r="T293" s="25"/>
      <c r="U293" s="25"/>
      <c r="V293" s="25"/>
      <c r="W293" s="25"/>
    </row>
    <row r="294" spans="1:23" s="208" customFormat="1" ht="12.75">
      <c r="A294" s="207"/>
      <c r="B294" s="25" t="s">
        <v>112</v>
      </c>
      <c r="C294" s="32"/>
      <c r="D294" s="53">
        <v>0</v>
      </c>
      <c r="E294" s="53"/>
      <c r="F294" s="53">
        <v>0</v>
      </c>
      <c r="G294" s="53"/>
      <c r="H294" s="53">
        <v>0</v>
      </c>
      <c r="I294" s="53"/>
      <c r="J294" s="53">
        <v>16188</v>
      </c>
      <c r="K294" s="53"/>
      <c r="L294" s="53">
        <v>1401</v>
      </c>
      <c r="M294" s="53"/>
      <c r="N294" s="53">
        <v>67</v>
      </c>
      <c r="O294" s="53"/>
      <c r="P294" s="45">
        <v>17656</v>
      </c>
      <c r="Q294" s="53"/>
      <c r="R294" s="25"/>
      <c r="S294" s="25"/>
      <c r="T294" s="25"/>
      <c r="U294" s="25"/>
      <c r="V294" s="25"/>
      <c r="W294" s="25"/>
    </row>
    <row r="295" spans="1:23" s="208" customFormat="1" ht="12.75">
      <c r="A295" s="207"/>
      <c r="B295" s="25" t="s">
        <v>63</v>
      </c>
      <c r="C295" s="32"/>
      <c r="D295" s="53">
        <v>0</v>
      </c>
      <c r="E295" s="53"/>
      <c r="F295" s="53">
        <v>0</v>
      </c>
      <c r="G295" s="53"/>
      <c r="H295" s="53">
        <v>0</v>
      </c>
      <c r="I295" s="53"/>
      <c r="J295" s="53">
        <v>0</v>
      </c>
      <c r="K295" s="53"/>
      <c r="L295" s="53">
        <v>0</v>
      </c>
      <c r="M295" s="53"/>
      <c r="N295" s="53">
        <v>-860</v>
      </c>
      <c r="O295" s="53"/>
      <c r="P295" s="45">
        <v>-860</v>
      </c>
      <c r="Q295" s="53"/>
      <c r="R295" s="25"/>
      <c r="S295" s="25"/>
      <c r="T295" s="25"/>
      <c r="U295" s="25"/>
      <c r="V295" s="25"/>
      <c r="W295" s="25"/>
    </row>
    <row r="296" spans="1:23" s="208" customFormat="1" ht="12.75">
      <c r="A296" s="207"/>
      <c r="B296" s="32" t="s">
        <v>113</v>
      </c>
      <c r="C296" s="32"/>
      <c r="D296" s="53">
        <v>0</v>
      </c>
      <c r="E296" s="53"/>
      <c r="F296" s="53">
        <v>0</v>
      </c>
      <c r="G296" s="53"/>
      <c r="H296" s="53">
        <v>0</v>
      </c>
      <c r="I296" s="53"/>
      <c r="J296" s="53"/>
      <c r="K296" s="53"/>
      <c r="L296" s="53"/>
      <c r="M296" s="53"/>
      <c r="N296" s="53"/>
      <c r="O296" s="53"/>
      <c r="P296" s="45">
        <v>0</v>
      </c>
      <c r="Q296" s="53"/>
      <c r="R296" s="25"/>
      <c r="S296" s="25"/>
      <c r="T296" s="25"/>
      <c r="U296" s="25"/>
      <c r="V296" s="25"/>
      <c r="W296" s="25"/>
    </row>
    <row r="297" spans="1:23" s="208" customFormat="1" ht="12.75">
      <c r="A297" s="285"/>
      <c r="B297" s="105" t="s">
        <v>45</v>
      </c>
      <c r="C297" s="105"/>
      <c r="D297" s="46">
        <v>0</v>
      </c>
      <c r="E297" s="45"/>
      <c r="F297" s="46">
        <v>0</v>
      </c>
      <c r="G297" s="53"/>
      <c r="H297" s="46">
        <v>1096</v>
      </c>
      <c r="I297" s="45"/>
      <c r="J297" s="46">
        <v>0</v>
      </c>
      <c r="K297" s="45"/>
      <c r="L297" s="46">
        <v>0</v>
      </c>
      <c r="M297" s="45"/>
      <c r="N297" s="46">
        <v>0</v>
      </c>
      <c r="O297" s="45"/>
      <c r="P297" s="46">
        <v>1096</v>
      </c>
      <c r="Q297" s="53"/>
      <c r="R297" s="25"/>
      <c r="S297" s="25"/>
      <c r="T297" s="25"/>
      <c r="U297" s="25"/>
      <c r="V297" s="25"/>
      <c r="W297" s="25"/>
    </row>
    <row r="298" spans="1:23" s="208" customFormat="1" ht="12.75">
      <c r="A298" s="32" t="s">
        <v>245</v>
      </c>
      <c r="B298" s="32"/>
      <c r="C298" s="32"/>
      <c r="D298" s="111">
        <v>86583</v>
      </c>
      <c r="E298" s="111"/>
      <c r="F298" s="111">
        <v>0</v>
      </c>
      <c r="G298" s="111"/>
      <c r="H298" s="111">
        <v>238638</v>
      </c>
      <c r="I298" s="111"/>
      <c r="J298" s="111">
        <v>1163739</v>
      </c>
      <c r="K298" s="111"/>
      <c r="L298" s="111">
        <v>-22043</v>
      </c>
      <c r="M298" s="111"/>
      <c r="N298" s="111">
        <v>12</v>
      </c>
      <c r="O298" s="111"/>
      <c r="P298" s="111">
        <v>1466929</v>
      </c>
      <c r="Q298" s="53"/>
      <c r="R298" s="25"/>
      <c r="S298" s="25"/>
      <c r="T298" s="25"/>
      <c r="U298" s="25"/>
      <c r="V298" s="25"/>
      <c r="W298" s="25"/>
    </row>
    <row r="299" spans="1:23" s="208" customFormat="1" ht="13.5">
      <c r="A299" s="81" t="s">
        <v>263</v>
      </c>
      <c r="B299" s="32"/>
      <c r="C299" s="32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53"/>
      <c r="R299" s="25"/>
      <c r="S299" s="25"/>
      <c r="T299" s="25"/>
      <c r="U299" s="25"/>
      <c r="V299" s="25"/>
      <c r="W299" s="25"/>
    </row>
    <row r="300" spans="1:23" s="208" customFormat="1" ht="12.75">
      <c r="A300" s="207"/>
      <c r="B300" s="25" t="s">
        <v>112</v>
      </c>
      <c r="C300" s="32"/>
      <c r="D300" s="53">
        <v>0</v>
      </c>
      <c r="E300" s="53"/>
      <c r="F300" s="53">
        <v>0</v>
      </c>
      <c r="G300" s="53"/>
      <c r="H300" s="53">
        <v>0</v>
      </c>
      <c r="I300" s="53"/>
      <c r="J300" s="53">
        <v>-22300</v>
      </c>
      <c r="K300" s="53"/>
      <c r="L300" s="53">
        <f>-43-1862-1164-L294-73+312</f>
        <v>-4231</v>
      </c>
      <c r="M300" s="53"/>
      <c r="N300" s="53">
        <v>-5</v>
      </c>
      <c r="O300" s="53"/>
      <c r="P300" s="45">
        <f>SUM(D300:N300)</f>
        <v>-26536</v>
      </c>
      <c r="Q300" s="53"/>
      <c r="R300" s="25"/>
      <c r="S300" s="25"/>
      <c r="T300" s="25"/>
      <c r="U300" s="25"/>
      <c r="V300" s="25"/>
      <c r="W300" s="25"/>
    </row>
    <row r="301" spans="1:23" s="208" customFormat="1" ht="12.75">
      <c r="A301" s="207"/>
      <c r="B301" s="25" t="s">
        <v>276</v>
      </c>
      <c r="C301" s="32"/>
      <c r="D301" s="53">
        <v>0</v>
      </c>
      <c r="E301" s="53"/>
      <c r="F301" s="53">
        <v>-418</v>
      </c>
      <c r="G301" s="53"/>
      <c r="H301" s="53">
        <v>0</v>
      </c>
      <c r="I301" s="53"/>
      <c r="J301" s="53">
        <v>-8761</v>
      </c>
      <c r="K301" s="53"/>
      <c r="L301" s="53">
        <v>0</v>
      </c>
      <c r="M301" s="53"/>
      <c r="N301" s="53">
        <v>0</v>
      </c>
      <c r="O301" s="53"/>
      <c r="P301" s="45">
        <f>SUM(D301:N301)</f>
        <v>-9179</v>
      </c>
      <c r="Q301" s="53"/>
      <c r="R301" s="25"/>
      <c r="S301" s="25"/>
      <c r="T301" s="25"/>
      <c r="U301" s="25"/>
      <c r="V301" s="25"/>
      <c r="W301" s="25"/>
    </row>
    <row r="302" spans="1:23" s="208" customFormat="1" ht="12.75">
      <c r="A302" s="207"/>
      <c r="B302" s="32" t="s">
        <v>266</v>
      </c>
      <c r="C302" s="32"/>
      <c r="D302" s="53">
        <v>0</v>
      </c>
      <c r="E302" s="53"/>
      <c r="F302" s="53">
        <v>4</v>
      </c>
      <c r="G302" s="53"/>
      <c r="H302" s="53">
        <v>0</v>
      </c>
      <c r="I302" s="53"/>
      <c r="J302" s="53">
        <v>48</v>
      </c>
      <c r="K302" s="53"/>
      <c r="L302" s="53">
        <v>0</v>
      </c>
      <c r="M302" s="53"/>
      <c r="N302" s="53">
        <v>0</v>
      </c>
      <c r="O302" s="53"/>
      <c r="P302" s="45">
        <f>SUM(D302:N302)</f>
        <v>52</v>
      </c>
      <c r="Q302" s="53"/>
      <c r="R302" s="25"/>
      <c r="S302" s="25"/>
      <c r="T302" s="25"/>
      <c r="U302" s="25"/>
      <c r="V302" s="25"/>
      <c r="W302" s="25"/>
    </row>
    <row r="303" spans="1:23" s="208" customFormat="1" ht="12.75">
      <c r="A303" s="207"/>
      <c r="B303" s="105" t="s">
        <v>45</v>
      </c>
      <c r="C303" s="32"/>
      <c r="D303" s="53">
        <v>0</v>
      </c>
      <c r="E303" s="53"/>
      <c r="F303" s="53">
        <v>0</v>
      </c>
      <c r="G303" s="53"/>
      <c r="H303" s="53">
        <v>1667</v>
      </c>
      <c r="I303" s="53"/>
      <c r="J303" s="53">
        <v>0</v>
      </c>
      <c r="K303" s="53"/>
      <c r="L303" s="53">
        <v>0</v>
      </c>
      <c r="M303" s="53"/>
      <c r="N303" s="53">
        <v>0</v>
      </c>
      <c r="O303" s="53"/>
      <c r="P303" s="45">
        <f>SUM(D303:N303)</f>
        <v>1667</v>
      </c>
      <c r="Q303" s="53"/>
      <c r="R303" s="25"/>
      <c r="S303" s="25"/>
      <c r="T303" s="25"/>
      <c r="U303" s="25"/>
      <c r="V303" s="25"/>
      <c r="W303" s="25"/>
    </row>
    <row r="304" spans="1:23" s="150" customFormat="1" ht="12.75">
      <c r="A304" s="172" t="s">
        <v>275</v>
      </c>
      <c r="B304" s="172"/>
      <c r="C304" s="149"/>
      <c r="D304" s="173">
        <f>SUM(D298:D303)</f>
        <v>86583</v>
      </c>
      <c r="E304" s="102"/>
      <c r="F304" s="173">
        <f>SUM(F298:F303)</f>
        <v>-414</v>
      </c>
      <c r="G304" s="102"/>
      <c r="H304" s="173">
        <f>SUM(H298:H303)</f>
        <v>240305</v>
      </c>
      <c r="I304" s="102"/>
      <c r="J304" s="173">
        <f>SUM(J298:J303)</f>
        <v>1132726</v>
      </c>
      <c r="K304" s="102"/>
      <c r="L304" s="173">
        <f>SUM(L298:L303)</f>
        <v>-26274</v>
      </c>
      <c r="M304" s="102"/>
      <c r="N304" s="173">
        <f>SUM(N298:N303)</f>
        <v>7</v>
      </c>
      <c r="O304" s="102"/>
      <c r="P304" s="173">
        <f>SUM(P298:P303)</f>
        <v>1432933</v>
      </c>
      <c r="Q304" s="149"/>
      <c r="R304" s="149"/>
      <c r="S304" s="149"/>
      <c r="T304" s="149"/>
      <c r="U304" s="149"/>
      <c r="V304" s="149"/>
      <c r="W304" s="149"/>
    </row>
    <row r="305" spans="1:24" ht="12.75">
      <c r="A305" s="2" t="s">
        <v>4</v>
      </c>
      <c r="B305" s="2" t="s">
        <v>143</v>
      </c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7"/>
      <c r="S305" s="97"/>
      <c r="T305" s="97"/>
      <c r="U305" s="236"/>
      <c r="V305" s="237"/>
      <c r="W305" s="122"/>
      <c r="X305" s="122"/>
    </row>
    <row r="306" spans="1:21" ht="12.75">
      <c r="A306" s="2" t="s">
        <v>3</v>
      </c>
      <c r="B306" s="2" t="s">
        <v>144</v>
      </c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7"/>
      <c r="S306" s="97"/>
      <c r="T306" s="97"/>
      <c r="U306" s="79"/>
    </row>
    <row r="307" spans="4:21" ht="12.75"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7"/>
      <c r="S307" s="97"/>
      <c r="T307" s="97"/>
      <c r="U307" s="79"/>
    </row>
    <row r="308" spans="1:21" ht="12.75">
      <c r="A308" s="170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5">
      <c r="A309" s="44" t="s">
        <v>148</v>
      </c>
      <c r="D309" s="292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0" ht="13.5" thickBot="1">
      <c r="A310" s="6" t="s">
        <v>23</v>
      </c>
      <c r="B310" s="6"/>
      <c r="C310" s="6"/>
      <c r="D310" s="20"/>
      <c r="E310" s="20"/>
      <c r="F310" s="20"/>
      <c r="G310" s="20"/>
      <c r="H310" s="20"/>
      <c r="I310" s="18"/>
      <c r="J310" s="18"/>
      <c r="K310" s="18"/>
      <c r="L310" s="18"/>
      <c r="M310" s="18"/>
      <c r="N310" s="18"/>
      <c r="O310" s="18"/>
      <c r="Q310" s="16"/>
      <c r="T310" s="16"/>
    </row>
    <row r="311" spans="4:16" ht="12.75">
      <c r="D311" s="318" t="s">
        <v>264</v>
      </c>
      <c r="E311" s="318"/>
      <c r="F311" s="318"/>
      <c r="G311" s="1"/>
      <c r="H311" s="277" t="s">
        <v>6</v>
      </c>
      <c r="I311" s="278"/>
      <c r="J311" s="278"/>
      <c r="K311" s="32"/>
      <c r="L311" s="122"/>
      <c r="M311" s="122"/>
      <c r="N311" s="25"/>
      <c r="O311" s="25"/>
      <c r="P311" s="22"/>
    </row>
    <row r="312" spans="1:16" ht="12.75">
      <c r="A312" s="13" t="s">
        <v>7</v>
      </c>
      <c r="B312" s="13"/>
      <c r="D312" s="56">
        <v>2010</v>
      </c>
      <c r="E312" s="11"/>
      <c r="F312" s="26">
        <v>2009</v>
      </c>
      <c r="G312" s="68"/>
      <c r="H312" s="272">
        <v>2009</v>
      </c>
      <c r="I312" s="28"/>
      <c r="J312" s="68"/>
      <c r="K312" s="32"/>
      <c r="L312" s="122"/>
      <c r="M312" s="122"/>
      <c r="N312" s="25"/>
      <c r="O312" s="25"/>
      <c r="P312" s="22"/>
    </row>
    <row r="313" spans="1:17" ht="12.75">
      <c r="A313" s="65"/>
      <c r="B313" s="65"/>
      <c r="D313" s="324" t="s">
        <v>5</v>
      </c>
      <c r="E313" s="324"/>
      <c r="F313" s="324"/>
      <c r="G313" s="298"/>
      <c r="H313" s="16"/>
      <c r="I313" s="5"/>
      <c r="J313" s="32"/>
      <c r="K313" s="32"/>
      <c r="L313" s="32"/>
      <c r="M313" s="122"/>
      <c r="N313" s="122"/>
      <c r="O313" s="25"/>
      <c r="P313" s="25"/>
      <c r="Q313" s="22"/>
    </row>
    <row r="314" spans="1:16" ht="12.75">
      <c r="A314" s="2"/>
      <c r="B314" s="2" t="s">
        <v>22</v>
      </c>
      <c r="C314" s="2"/>
      <c r="D314" s="58">
        <v>159814</v>
      </c>
      <c r="E314" s="292"/>
      <c r="F314" s="141">
        <v>168116</v>
      </c>
      <c r="G314" s="141"/>
      <c r="H314" s="22">
        <v>125961</v>
      </c>
      <c r="I314" s="28"/>
      <c r="J314" s="123"/>
      <c r="K314" s="32"/>
      <c r="L314" s="122"/>
      <c r="M314" s="122"/>
      <c r="N314" s="25"/>
      <c r="O314" s="25"/>
      <c r="P314" s="22"/>
    </row>
    <row r="315" spans="1:16" ht="12.75">
      <c r="A315" s="2"/>
      <c r="B315" s="2" t="s">
        <v>26</v>
      </c>
      <c r="C315" s="2"/>
      <c r="D315" s="58">
        <v>8204</v>
      </c>
      <c r="E315" s="292"/>
      <c r="F315" s="22">
        <v>17739</v>
      </c>
      <c r="G315" s="22"/>
      <c r="H315" s="22">
        <f>7977+10014</f>
        <v>17991</v>
      </c>
      <c r="I315" s="28"/>
      <c r="J315" s="123"/>
      <c r="K315" s="32"/>
      <c r="L315" s="122"/>
      <c r="M315" s="122"/>
      <c r="N315" s="25"/>
      <c r="O315" s="25"/>
      <c r="P315" s="22"/>
    </row>
    <row r="316" spans="1:16" ht="12.75">
      <c r="A316" s="2"/>
      <c r="B316" s="2" t="s">
        <v>24</v>
      </c>
      <c r="C316" s="2"/>
      <c r="D316" s="58">
        <v>0</v>
      </c>
      <c r="E316" s="292"/>
      <c r="F316" s="22">
        <v>-92656</v>
      </c>
      <c r="G316" s="22"/>
      <c r="H316" s="22">
        <v>-26109</v>
      </c>
      <c r="I316" s="28"/>
      <c r="J316" s="123"/>
      <c r="K316" s="32"/>
      <c r="L316" s="122"/>
      <c r="M316" s="122"/>
      <c r="N316" s="25"/>
      <c r="O316" s="25"/>
      <c r="P316" s="22"/>
    </row>
    <row r="317" spans="1:16" ht="12.75">
      <c r="A317" s="2"/>
      <c r="B317" s="2" t="s">
        <v>25</v>
      </c>
      <c r="C317" s="2"/>
      <c r="D317" s="58">
        <v>-118</v>
      </c>
      <c r="E317" s="292"/>
      <c r="F317" s="22">
        <v>-568</v>
      </c>
      <c r="G317" s="22"/>
      <c r="H317" s="22">
        <v>-348</v>
      </c>
      <c r="I317" s="28"/>
      <c r="J317" s="123"/>
      <c r="K317" s="32"/>
      <c r="L317" s="122"/>
      <c r="M317" s="122"/>
      <c r="N317" s="25"/>
      <c r="O317" s="25"/>
      <c r="P317" s="22"/>
    </row>
    <row r="318" spans="1:16" ht="12.75">
      <c r="A318" s="2"/>
      <c r="B318" s="2" t="s">
        <v>54</v>
      </c>
      <c r="C318" s="2"/>
      <c r="D318" s="58">
        <v>-776483</v>
      </c>
      <c r="E318" s="292"/>
      <c r="F318" s="22">
        <v>-1043429</v>
      </c>
      <c r="G318" s="22"/>
      <c r="H318" s="22">
        <v>-882580</v>
      </c>
      <c r="I318" s="28"/>
      <c r="J318" s="123"/>
      <c r="K318" s="32"/>
      <c r="L318" s="122"/>
      <c r="M318" s="122"/>
      <c r="N318" s="25"/>
      <c r="O318" s="25"/>
      <c r="P318" s="22"/>
    </row>
    <row r="319" spans="1:16" ht="12.75">
      <c r="A319" s="2"/>
      <c r="B319" s="2" t="s">
        <v>55</v>
      </c>
      <c r="C319" s="2"/>
      <c r="D319" s="58">
        <v>-7713</v>
      </c>
      <c r="E319" s="292"/>
      <c r="F319" s="22">
        <v>-11252</v>
      </c>
      <c r="G319" s="22"/>
      <c r="H319" s="22">
        <v>-8954</v>
      </c>
      <c r="I319" s="28"/>
      <c r="J319" s="123"/>
      <c r="K319" s="32"/>
      <c r="L319" s="122"/>
      <c r="M319" s="122"/>
      <c r="N319" s="25"/>
      <c r="O319" s="25"/>
      <c r="P319" s="22"/>
    </row>
    <row r="320" spans="1:16" ht="12.75">
      <c r="A320" s="4"/>
      <c r="B320" s="4" t="s">
        <v>0</v>
      </c>
      <c r="C320" s="2"/>
      <c r="D320" s="60">
        <f>SUM(D314:D319)</f>
        <v>-616296</v>
      </c>
      <c r="E320" s="16"/>
      <c r="F320" s="29">
        <f>SUM(F314:F319)</f>
        <v>-962050</v>
      </c>
      <c r="G320" s="30"/>
      <c r="H320" s="29">
        <f>SUM(H314:H319)</f>
        <v>-774039</v>
      </c>
      <c r="I320" s="30"/>
      <c r="J320" s="123"/>
      <c r="K320" s="32"/>
      <c r="L320" s="122"/>
      <c r="M320" s="122"/>
      <c r="N320" s="25"/>
      <c r="O320" s="25"/>
      <c r="P320" s="22"/>
    </row>
    <row r="321" spans="1:20" ht="12.75">
      <c r="A321" s="5"/>
      <c r="B321" s="5"/>
      <c r="D321" s="219"/>
      <c r="E321" s="16"/>
      <c r="F321" s="30"/>
      <c r="G321" s="30"/>
      <c r="H321" s="30"/>
      <c r="I321" s="30"/>
      <c r="J321" s="30"/>
      <c r="K321" s="30"/>
      <c r="L321" s="28"/>
      <c r="M321" s="30"/>
      <c r="N321" s="123"/>
      <c r="O321" s="32"/>
      <c r="P321" s="122"/>
      <c r="Q321" s="122"/>
      <c r="R321" s="25"/>
      <c r="S321" s="25"/>
      <c r="T321" s="22"/>
    </row>
    <row r="322" spans="1:21" ht="12.75">
      <c r="A322" s="5"/>
      <c r="B322" s="5"/>
      <c r="D322" s="30"/>
      <c r="E322" s="16"/>
      <c r="F322" s="30"/>
      <c r="G322" s="30"/>
      <c r="H322" s="30"/>
      <c r="I322" s="30"/>
      <c r="J322" s="30"/>
      <c r="K322" s="30"/>
      <c r="L322" s="30"/>
      <c r="M322" s="18"/>
      <c r="N322" s="30"/>
      <c r="O322" s="123"/>
      <c r="P322" s="32"/>
      <c r="Q322" s="122"/>
      <c r="R322" s="122"/>
      <c r="S322" s="25"/>
      <c r="T322" s="25"/>
      <c r="U322" s="22"/>
    </row>
    <row r="323" spans="1:22" ht="15">
      <c r="A323" s="44" t="s">
        <v>167</v>
      </c>
      <c r="B323" s="5"/>
      <c r="D323" s="112"/>
      <c r="F323" s="14"/>
      <c r="G323" s="14"/>
      <c r="H323" s="14"/>
      <c r="I323" s="14"/>
      <c r="J323" s="14"/>
      <c r="K323" s="14"/>
      <c r="L323" s="269"/>
      <c r="M323" s="14"/>
      <c r="N323" s="14"/>
      <c r="V323" s="76"/>
    </row>
    <row r="324" spans="1:20" ht="13.5" thickBot="1">
      <c r="A324" s="38" t="s">
        <v>150</v>
      </c>
      <c r="B324" s="38"/>
      <c r="C324" s="38"/>
      <c r="D324" s="80"/>
      <c r="E324" s="51"/>
      <c r="F324" s="51"/>
      <c r="G324" s="51"/>
      <c r="H324" s="51"/>
      <c r="I324" s="51"/>
      <c r="J324" s="51"/>
      <c r="K324" s="51"/>
      <c r="L324" s="51"/>
      <c r="M324" s="28"/>
      <c r="N324" s="169"/>
      <c r="O324" s="52"/>
      <c r="P324" s="52"/>
      <c r="Q324" s="50"/>
      <c r="R324" s="50"/>
      <c r="S324" s="50"/>
      <c r="T324" s="50"/>
    </row>
    <row r="325" spans="1:19" ht="12.75">
      <c r="A325" s="32"/>
      <c r="B325" s="32"/>
      <c r="C325" s="32"/>
      <c r="D325" s="322" t="s">
        <v>8</v>
      </c>
      <c r="E325" s="322"/>
      <c r="F325" s="322"/>
      <c r="G325" s="66"/>
      <c r="H325" s="317" t="s">
        <v>261</v>
      </c>
      <c r="I325" s="317"/>
      <c r="J325" s="317"/>
      <c r="K325" s="125"/>
      <c r="L325" s="279" t="s">
        <v>37</v>
      </c>
      <c r="M325" s="280"/>
      <c r="N325" s="280"/>
      <c r="O325" s="52"/>
      <c r="P325" s="52"/>
      <c r="Q325" s="50"/>
      <c r="R325" s="50"/>
      <c r="S325" s="50"/>
    </row>
    <row r="326" spans="1:19" ht="12.75">
      <c r="A326" s="25"/>
      <c r="B326" s="25"/>
      <c r="C326" s="25"/>
      <c r="D326" s="318" t="s">
        <v>262</v>
      </c>
      <c r="E326" s="318"/>
      <c r="F326" s="318"/>
      <c r="G326" s="1"/>
      <c r="H326" s="316" t="s">
        <v>262</v>
      </c>
      <c r="I326" s="316"/>
      <c r="J326" s="316"/>
      <c r="K326" s="67"/>
      <c r="L326" s="277" t="s">
        <v>6</v>
      </c>
      <c r="M326" s="278"/>
      <c r="N326" s="278"/>
      <c r="O326" s="52"/>
      <c r="P326" s="52"/>
      <c r="Q326" s="50"/>
      <c r="R326" s="50"/>
      <c r="S326" s="50"/>
    </row>
    <row r="327" spans="1:19" ht="12.75">
      <c r="A327" s="47" t="s">
        <v>7</v>
      </c>
      <c r="B327" s="47"/>
      <c r="C327" s="25"/>
      <c r="D327" s="56">
        <v>2010</v>
      </c>
      <c r="E327" s="129"/>
      <c r="F327" s="26">
        <v>2009</v>
      </c>
      <c r="G327" s="68"/>
      <c r="H327" s="290">
        <v>2010</v>
      </c>
      <c r="I327" s="129"/>
      <c r="J327" s="299">
        <v>2009</v>
      </c>
      <c r="K327" s="68"/>
      <c r="L327" s="272">
        <v>2009</v>
      </c>
      <c r="M327" s="114"/>
      <c r="N327" s="68"/>
      <c r="O327" s="52"/>
      <c r="P327" s="52"/>
      <c r="Q327" s="50"/>
      <c r="R327" s="50"/>
      <c r="S327" s="50"/>
    </row>
    <row r="328" spans="1:20" ht="12.75">
      <c r="A328" s="64"/>
      <c r="B328" s="64"/>
      <c r="C328" s="25"/>
      <c r="D328" s="320" t="s">
        <v>5</v>
      </c>
      <c r="E328" s="320"/>
      <c r="F328" s="320"/>
      <c r="G328" s="320"/>
      <c r="H328" s="320"/>
      <c r="I328" s="320"/>
      <c r="J328" s="320"/>
      <c r="K328" s="320"/>
      <c r="L328" s="320"/>
      <c r="M328" s="218"/>
      <c r="N328" s="218"/>
      <c r="O328" s="216"/>
      <c r="P328" s="216"/>
      <c r="Q328" s="50"/>
      <c r="R328" s="50"/>
      <c r="S328" s="50"/>
      <c r="T328" s="50"/>
    </row>
    <row r="329" spans="2:20" s="122" customFormat="1" ht="12.75">
      <c r="B329" s="25" t="s">
        <v>151</v>
      </c>
      <c r="C329" s="25"/>
      <c r="D329" s="57">
        <v>-24606</v>
      </c>
      <c r="E329" s="24"/>
      <c r="F329" s="24">
        <v>36181</v>
      </c>
      <c r="G329" s="24"/>
      <c r="H329" s="57">
        <v>-14585</v>
      </c>
      <c r="I329" s="24"/>
      <c r="J329" s="24">
        <v>97786</v>
      </c>
      <c r="K329" s="24"/>
      <c r="L329" s="24">
        <v>176167</v>
      </c>
      <c r="M329" s="23"/>
      <c r="N329" s="23"/>
      <c r="O329" s="281"/>
      <c r="P329" s="281"/>
      <c r="Q329" s="116"/>
      <c r="R329" s="116"/>
      <c r="S329" s="116"/>
      <c r="T329" s="25"/>
    </row>
    <row r="330" spans="2:20" s="122" customFormat="1" ht="12.75">
      <c r="B330" s="25" t="s">
        <v>152</v>
      </c>
      <c r="C330" s="25"/>
      <c r="D330" s="58">
        <v>2301</v>
      </c>
      <c r="E330" s="24"/>
      <c r="F330" s="22">
        <v>4859</v>
      </c>
      <c r="G330" s="22"/>
      <c r="H330" s="58">
        <v>8535</v>
      </c>
      <c r="I330" s="24"/>
      <c r="J330" s="22">
        <v>-2582</v>
      </c>
      <c r="K330" s="24"/>
      <c r="L330" s="22">
        <v>-8248</v>
      </c>
      <c r="M330" s="23"/>
      <c r="N330" s="28"/>
      <c r="O330" s="281"/>
      <c r="P330" s="281"/>
      <c r="Q330" s="116"/>
      <c r="R330" s="116"/>
      <c r="S330" s="116"/>
      <c r="T330" s="25"/>
    </row>
    <row r="331" spans="2:20" s="122" customFormat="1" ht="12.75">
      <c r="B331" s="25" t="s">
        <v>153</v>
      </c>
      <c r="C331" s="25"/>
      <c r="D331" s="58">
        <v>5</v>
      </c>
      <c r="E331" s="22"/>
      <c r="F331" s="22">
        <v>2</v>
      </c>
      <c r="G331" s="22"/>
      <c r="H331" s="58">
        <v>-62</v>
      </c>
      <c r="I331" s="22"/>
      <c r="J331" s="22">
        <v>2</v>
      </c>
      <c r="K331" s="28"/>
      <c r="L331" s="22">
        <v>-2094</v>
      </c>
      <c r="M331" s="28"/>
      <c r="N331" s="28"/>
      <c r="O331" s="281"/>
      <c r="P331" s="281"/>
      <c r="Q331" s="116"/>
      <c r="R331" s="116"/>
      <c r="S331" s="116"/>
      <c r="T331" s="25"/>
    </row>
    <row r="332" spans="1:19" ht="12.75">
      <c r="A332" s="113"/>
      <c r="B332" s="113" t="s">
        <v>154</v>
      </c>
      <c r="C332" s="25"/>
      <c r="D332" s="60">
        <f>SUM(D329:D331)</f>
        <v>-22300</v>
      </c>
      <c r="E332" s="34"/>
      <c r="F332" s="29">
        <f>SUM(F329:F331)</f>
        <v>41042</v>
      </c>
      <c r="G332" s="30"/>
      <c r="H332" s="60">
        <f>SUM(H329:H331)</f>
        <v>-6112</v>
      </c>
      <c r="I332" s="34"/>
      <c r="J332" s="29">
        <f>SUM(J329:J331)</f>
        <v>95206</v>
      </c>
      <c r="K332" s="34"/>
      <c r="L332" s="29">
        <f>SUM(L329:L331)</f>
        <v>165825</v>
      </c>
      <c r="M332" s="23"/>
      <c r="N332" s="30"/>
      <c r="O332" s="52"/>
      <c r="P332" s="52"/>
      <c r="Q332" s="50"/>
      <c r="R332" s="50"/>
      <c r="S332" s="50"/>
    </row>
    <row r="333" spans="1:19" ht="12.75">
      <c r="A333" s="19"/>
      <c r="C333" s="5"/>
      <c r="D333" s="50"/>
      <c r="E333" s="52"/>
      <c r="F333" s="50"/>
      <c r="G333" s="50"/>
      <c r="H333" s="50"/>
      <c r="I333" s="52"/>
      <c r="J333" s="50"/>
      <c r="K333" s="50"/>
      <c r="L333" s="50"/>
      <c r="M333" s="52"/>
      <c r="N333" s="52"/>
      <c r="O333" s="52"/>
      <c r="P333" s="52"/>
      <c r="Q333" s="50"/>
      <c r="R333" s="50"/>
      <c r="S333" s="50"/>
    </row>
    <row r="334" spans="2:20" s="122" customFormat="1" ht="12.75">
      <c r="B334" s="25" t="s">
        <v>155</v>
      </c>
      <c r="C334" s="25"/>
      <c r="D334" s="58">
        <f>+L334-0</f>
        <v>0</v>
      </c>
      <c r="E334" s="22"/>
      <c r="F334" s="22">
        <v>0</v>
      </c>
      <c r="G334" s="22"/>
      <c r="H334" s="58">
        <f>+P334-0</f>
        <v>0</v>
      </c>
      <c r="I334" s="22"/>
      <c r="J334" s="22">
        <v>0</v>
      </c>
      <c r="K334" s="28"/>
      <c r="L334" s="22">
        <v>0</v>
      </c>
      <c r="M334" s="28"/>
      <c r="N334" s="28"/>
      <c r="O334" s="281"/>
      <c r="P334" s="281"/>
      <c r="Q334" s="116"/>
      <c r="R334" s="116"/>
      <c r="S334" s="116"/>
      <c r="T334" s="25"/>
    </row>
    <row r="335" spans="1:19" ht="12.75">
      <c r="A335" s="113"/>
      <c r="B335" s="113" t="s">
        <v>156</v>
      </c>
      <c r="C335" s="25"/>
      <c r="D335" s="60">
        <f>D332+D334</f>
        <v>-22300</v>
      </c>
      <c r="E335" s="34"/>
      <c r="F335" s="29">
        <f>F332+F334</f>
        <v>41042</v>
      </c>
      <c r="G335" s="30"/>
      <c r="H335" s="60">
        <f>H332+H334</f>
        <v>-6112</v>
      </c>
      <c r="I335" s="34"/>
      <c r="J335" s="29">
        <f>J332+J334</f>
        <v>95206</v>
      </c>
      <c r="K335" s="34"/>
      <c r="L335" s="29">
        <f>L332+L334</f>
        <v>165825</v>
      </c>
      <c r="M335" s="23"/>
      <c r="N335" s="30"/>
      <c r="O335" s="52"/>
      <c r="P335" s="52"/>
      <c r="Q335" s="50"/>
      <c r="R335" s="50"/>
      <c r="S335" s="50"/>
    </row>
    <row r="336" spans="1:20" s="122" customFormat="1" ht="12.75">
      <c r="A336" s="32"/>
      <c r="B336" s="32"/>
      <c r="C336" s="25"/>
      <c r="D336" s="30"/>
      <c r="E336" s="34"/>
      <c r="F336" s="219"/>
      <c r="G336" s="219"/>
      <c r="H336" s="30"/>
      <c r="I336" s="34"/>
      <c r="J336" s="219"/>
      <c r="K336" s="34"/>
      <c r="L336" s="30"/>
      <c r="M336" s="23"/>
      <c r="N336" s="30"/>
      <c r="O336" s="281"/>
      <c r="P336" s="281"/>
      <c r="Q336" s="116"/>
      <c r="R336" s="116"/>
      <c r="S336" s="116"/>
      <c r="T336" s="25"/>
    </row>
    <row r="337" spans="1:18" s="181" customFormat="1" ht="12.75">
      <c r="A337" s="176" t="s">
        <v>161</v>
      </c>
      <c r="C337" s="177"/>
      <c r="D337" s="178"/>
      <c r="E337" s="177"/>
      <c r="F337" s="220"/>
      <c r="G337" s="220"/>
      <c r="H337" s="178"/>
      <c r="I337" s="177"/>
      <c r="J337" s="220"/>
      <c r="K337" s="180"/>
      <c r="L337" s="179"/>
      <c r="M337" s="179"/>
      <c r="N337" s="179"/>
      <c r="O337" s="179"/>
      <c r="P337" s="180"/>
      <c r="Q337" s="179"/>
      <c r="R337" s="175"/>
    </row>
    <row r="338" spans="2:16" s="181" customFormat="1" ht="12.75">
      <c r="B338" s="182" t="s">
        <v>157</v>
      </c>
      <c r="C338" s="176"/>
      <c r="D338" s="184">
        <f>D332*1000/D344</f>
        <v>-0.11266341537900887</v>
      </c>
      <c r="E338" s="175"/>
      <c r="F338" s="175">
        <f>F332*1000/F344</f>
        <v>0.22296351200659217</v>
      </c>
      <c r="G338" s="175"/>
      <c r="H338" s="184">
        <f>H332*1000/H344</f>
        <v>-0.030873805683297836</v>
      </c>
      <c r="I338" s="175"/>
      <c r="J338" s="175">
        <f>J332*1000/J344</f>
        <v>0.5284649239080671</v>
      </c>
      <c r="K338" s="175"/>
      <c r="L338" s="175">
        <f>L332*1000/L344</f>
        <v>0.8770975156837159</v>
      </c>
      <c r="M338" s="175"/>
      <c r="N338" s="175"/>
      <c r="O338" s="175"/>
      <c r="P338" s="185"/>
    </row>
    <row r="339" spans="2:16" s="181" customFormat="1" ht="12.75">
      <c r="B339" s="182" t="s">
        <v>166</v>
      </c>
      <c r="C339" s="176"/>
      <c r="D339" s="184">
        <f>D335*1000/D346</f>
        <v>-0.11207708547348842</v>
      </c>
      <c r="E339" s="186"/>
      <c r="F339" s="187">
        <f>F335*1000/F346</f>
        <v>0.22296351200659217</v>
      </c>
      <c r="G339" s="187"/>
      <c r="H339" s="184">
        <f>H335*1000/H346</f>
        <v>-0.030703604750888524</v>
      </c>
      <c r="I339" s="186"/>
      <c r="J339" s="187">
        <f>J335*1000/J346</f>
        <v>0.5284649239080671</v>
      </c>
      <c r="K339" s="187"/>
      <c r="L339" s="187">
        <f>L335*1000/L346</f>
        <v>0.8770952007148465</v>
      </c>
      <c r="M339" s="186"/>
      <c r="N339" s="187"/>
      <c r="O339" s="186"/>
      <c r="P339" s="185"/>
    </row>
    <row r="340" spans="1:17" s="181" customFormat="1" ht="12.75">
      <c r="A340" s="177" t="s">
        <v>158</v>
      </c>
      <c r="C340" s="176"/>
      <c r="D340" s="188"/>
      <c r="E340" s="189"/>
      <c r="F340" s="190"/>
      <c r="G340" s="190"/>
      <c r="H340" s="188"/>
      <c r="I340" s="189"/>
      <c r="J340" s="190"/>
      <c r="K340" s="190"/>
      <c r="L340" s="190"/>
      <c r="M340" s="189"/>
      <c r="N340" s="190"/>
      <c r="O340" s="189"/>
      <c r="P340" s="185"/>
      <c r="Q340" s="170"/>
    </row>
    <row r="341" spans="2:16" s="181" customFormat="1" ht="12.75">
      <c r="B341" s="191" t="s">
        <v>157</v>
      </c>
      <c r="C341" s="176"/>
      <c r="D341" s="184">
        <f>((D332-D330)*1000)/D344</f>
        <v>-0.12428846106452902</v>
      </c>
      <c r="E341" s="175"/>
      <c r="F341" s="175">
        <f>((F332-F330)*1000)/F344</f>
        <v>0.1965666574468721</v>
      </c>
      <c r="G341" s="175"/>
      <c r="H341" s="184">
        <f>((H332-H330)*1000)/H344</f>
        <v>-0.07398701437226168</v>
      </c>
      <c r="I341" s="175"/>
      <c r="J341" s="175">
        <f>((J332-J330)*1000)/J344</f>
        <v>0.5427969663584445</v>
      </c>
      <c r="K341" s="175"/>
      <c r="L341" s="175">
        <f>((L332-L330)*1000)/L344</f>
        <v>0.9207236294142106</v>
      </c>
      <c r="M341" s="175"/>
      <c r="N341" s="175"/>
      <c r="O341" s="175"/>
      <c r="P341" s="185"/>
    </row>
    <row r="342" spans="1:16" s="181" customFormat="1" ht="12.75">
      <c r="A342" s="192"/>
      <c r="B342" s="192" t="s">
        <v>165</v>
      </c>
      <c r="C342" s="176"/>
      <c r="D342" s="193">
        <f>((D335-D330)*1000)/D346</f>
        <v>-0.12364163137817438</v>
      </c>
      <c r="E342" s="175"/>
      <c r="F342" s="203">
        <f>((F335-F330)*1000)/F346</f>
        <v>0.1965666574468721</v>
      </c>
      <c r="G342" s="175"/>
      <c r="H342" s="193">
        <f>((H335-H330)*1000)/H346</f>
        <v>-0.07357913919932334</v>
      </c>
      <c r="I342" s="175"/>
      <c r="J342" s="203">
        <f>((J335-J330)*1000)/J346</f>
        <v>0.5427969663584445</v>
      </c>
      <c r="K342" s="175"/>
      <c r="L342" s="203">
        <f>((L335-L330)*1000)/L346</f>
        <v>0.9207211993006813</v>
      </c>
      <c r="M342" s="175"/>
      <c r="N342" s="175"/>
      <c r="O342" s="175"/>
      <c r="P342" s="185"/>
    </row>
    <row r="343" spans="1:16" s="181" customFormat="1" ht="12.75">
      <c r="A343" s="183"/>
      <c r="B343" s="183"/>
      <c r="C343" s="176"/>
      <c r="D343" s="184"/>
      <c r="E343" s="175"/>
      <c r="F343" s="175"/>
      <c r="G343" s="175"/>
      <c r="H343" s="184"/>
      <c r="I343" s="175"/>
      <c r="J343" s="175"/>
      <c r="K343" s="175"/>
      <c r="L343" s="175"/>
      <c r="M343" s="175"/>
      <c r="N343" s="175"/>
      <c r="O343" s="175"/>
      <c r="P343" s="185"/>
    </row>
    <row r="344" spans="1:16" s="181" customFormat="1" ht="12.75">
      <c r="A344" s="194"/>
      <c r="B344" s="194" t="s">
        <v>159</v>
      </c>
      <c r="C344" s="195"/>
      <c r="D344" s="59">
        <v>197934706</v>
      </c>
      <c r="E344" s="196"/>
      <c r="F344" s="28">
        <v>184074962</v>
      </c>
      <c r="G344" s="28"/>
      <c r="H344" s="59">
        <v>197967172</v>
      </c>
      <c r="I344" s="196"/>
      <c r="J344" s="28">
        <v>180155760</v>
      </c>
      <c r="K344" s="196"/>
      <c r="L344" s="28">
        <v>189061075.91780823</v>
      </c>
      <c r="M344" s="196"/>
      <c r="N344" s="28"/>
      <c r="O344" s="28"/>
      <c r="P344" s="185"/>
    </row>
    <row r="345" spans="1:16" s="181" customFormat="1" ht="12.75">
      <c r="A345" s="194"/>
      <c r="B345" s="194" t="s">
        <v>164</v>
      </c>
      <c r="C345" s="195"/>
      <c r="D345" s="59">
        <v>1035493</v>
      </c>
      <c r="E345" s="196"/>
      <c r="F345" s="28">
        <v>0</v>
      </c>
      <c r="G345" s="28"/>
      <c r="H345" s="59">
        <v>1097402</v>
      </c>
      <c r="I345" s="196"/>
      <c r="J345" s="28">
        <v>0</v>
      </c>
      <c r="K345" s="196"/>
      <c r="L345" s="28">
        <v>499</v>
      </c>
      <c r="M345" s="196"/>
      <c r="N345" s="28"/>
      <c r="O345" s="28"/>
      <c r="P345" s="185"/>
    </row>
    <row r="346" spans="1:16" s="181" customFormat="1" ht="12.75">
      <c r="A346" s="197"/>
      <c r="B346" s="197" t="s">
        <v>160</v>
      </c>
      <c r="C346" s="4"/>
      <c r="D346" s="103">
        <f>SUM(D344:D345)</f>
        <v>198970199</v>
      </c>
      <c r="E346" s="28"/>
      <c r="F346" s="100">
        <f>SUM(F344:F345)</f>
        <v>184074962</v>
      </c>
      <c r="G346" s="28"/>
      <c r="H346" s="103">
        <f>SUM(H344:H345)</f>
        <v>199064574</v>
      </c>
      <c r="I346" s="28"/>
      <c r="J346" s="100">
        <f>SUM(J344:J345)</f>
        <v>180155760</v>
      </c>
      <c r="K346" s="28"/>
      <c r="L346" s="100">
        <f>SUM(L344:L345)</f>
        <v>189061574.91780823</v>
      </c>
      <c r="M346" s="28"/>
      <c r="N346" s="28"/>
      <c r="O346" s="28"/>
      <c r="P346" s="196"/>
    </row>
    <row r="347" spans="1:22" s="206" customFormat="1" ht="12.75">
      <c r="A347" s="2" t="s">
        <v>267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05"/>
    </row>
    <row r="348" spans="1:22" s="206" customFormat="1" ht="12.75">
      <c r="A348" s="2" t="s">
        <v>268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05"/>
    </row>
    <row r="349" spans="1:22" s="206" customFormat="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05"/>
    </row>
    <row r="350" spans="1:22" s="206" customFormat="1" ht="12.75">
      <c r="A350" s="209"/>
      <c r="B350" s="209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05"/>
    </row>
    <row r="351" spans="1:22" s="206" customFormat="1" ht="15">
      <c r="A351" s="8" t="s">
        <v>204</v>
      </c>
      <c r="B351" s="2"/>
      <c r="C351" s="2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2"/>
      <c r="P351" s="2"/>
      <c r="Q351" s="2"/>
      <c r="R351" s="2"/>
      <c r="S351" s="2"/>
      <c r="T351" s="2"/>
      <c r="U351" s="2"/>
      <c r="V351" s="205"/>
    </row>
    <row r="352" spans="1:22" s="206" customFormat="1" ht="13.5" thickBot="1">
      <c r="A352" s="38" t="s">
        <v>194</v>
      </c>
      <c r="B352" s="38"/>
      <c r="C352" s="38"/>
      <c r="D352" s="80"/>
      <c r="E352" s="51"/>
      <c r="F352" s="51"/>
      <c r="G352" s="51"/>
      <c r="H352" s="51"/>
      <c r="I352" s="51"/>
      <c r="J352" s="51"/>
      <c r="K352" s="51"/>
      <c r="L352" s="51"/>
      <c r="M352" s="28"/>
      <c r="N352" s="169"/>
      <c r="O352" s="5"/>
      <c r="P352" s="2"/>
      <c r="Q352" s="2"/>
      <c r="R352" s="2"/>
      <c r="S352" s="2"/>
      <c r="T352" s="2"/>
      <c r="U352" s="2"/>
      <c r="V352" s="205"/>
    </row>
    <row r="353" spans="1:22" s="206" customFormat="1" ht="12.75">
      <c r="A353" s="32"/>
      <c r="B353" s="32"/>
      <c r="C353" s="32"/>
      <c r="D353" s="322" t="s">
        <v>8</v>
      </c>
      <c r="E353" s="322"/>
      <c r="F353" s="322"/>
      <c r="G353" s="66"/>
      <c r="H353" s="317" t="s">
        <v>261</v>
      </c>
      <c r="I353" s="317"/>
      <c r="J353" s="317"/>
      <c r="K353" s="125"/>
      <c r="L353" s="279" t="s">
        <v>37</v>
      </c>
      <c r="M353" s="280"/>
      <c r="N353" s="280"/>
      <c r="O353" s="5"/>
      <c r="P353" s="2"/>
      <c r="Q353" s="2"/>
      <c r="R353" s="2"/>
      <c r="S353" s="2"/>
      <c r="T353" s="2"/>
      <c r="U353" s="2"/>
      <c r="V353" s="205"/>
    </row>
    <row r="354" spans="1:22" s="206" customFormat="1" ht="12.75">
      <c r="A354" s="25"/>
      <c r="B354" s="25"/>
      <c r="C354" s="25"/>
      <c r="D354" s="318" t="s">
        <v>262</v>
      </c>
      <c r="E354" s="318"/>
      <c r="F354" s="318"/>
      <c r="G354" s="1"/>
      <c r="H354" s="316" t="s">
        <v>262</v>
      </c>
      <c r="I354" s="316"/>
      <c r="J354" s="316"/>
      <c r="K354" s="67"/>
      <c r="L354" s="277" t="s">
        <v>6</v>
      </c>
      <c r="M354" s="278"/>
      <c r="N354" s="278"/>
      <c r="O354" s="5"/>
      <c r="P354" s="2"/>
      <c r="Q354" s="2"/>
      <c r="R354" s="2"/>
      <c r="S354" s="2"/>
      <c r="T354" s="2"/>
      <c r="U354" s="2"/>
      <c r="V354" s="205"/>
    </row>
    <row r="355" spans="1:22" s="206" customFormat="1" ht="12.75">
      <c r="A355" s="47" t="s">
        <v>7</v>
      </c>
      <c r="B355" s="47"/>
      <c r="C355" s="25"/>
      <c r="D355" s="56">
        <v>2010</v>
      </c>
      <c r="E355" s="129"/>
      <c r="F355" s="26">
        <v>2009</v>
      </c>
      <c r="G355" s="68"/>
      <c r="H355" s="290">
        <v>2010</v>
      </c>
      <c r="I355" s="129"/>
      <c r="J355" s="299">
        <v>2009</v>
      </c>
      <c r="K355" s="68"/>
      <c r="L355" s="272">
        <v>2009</v>
      </c>
      <c r="M355" s="114"/>
      <c r="N355" s="68"/>
      <c r="O355" s="5"/>
      <c r="P355" s="2"/>
      <c r="Q355" s="2"/>
      <c r="R355" s="2"/>
      <c r="S355" s="2"/>
      <c r="T355" s="2"/>
      <c r="U355" s="2"/>
      <c r="V355" s="205"/>
    </row>
    <row r="356" spans="1:22" s="206" customFormat="1" ht="12.75">
      <c r="A356" s="64"/>
      <c r="B356" s="64"/>
      <c r="C356" s="25"/>
      <c r="D356" s="320" t="s">
        <v>5</v>
      </c>
      <c r="E356" s="320"/>
      <c r="F356" s="320"/>
      <c r="G356" s="320"/>
      <c r="H356" s="320"/>
      <c r="I356" s="320"/>
      <c r="J356" s="320"/>
      <c r="K356" s="320"/>
      <c r="L356" s="320"/>
      <c r="M356" s="218"/>
      <c r="N356" s="218"/>
      <c r="O356" s="5"/>
      <c r="P356" s="2"/>
      <c r="Q356" s="2"/>
      <c r="R356" s="2"/>
      <c r="S356" s="2"/>
      <c r="T356" s="2"/>
      <c r="U356" s="2"/>
      <c r="V356" s="205"/>
    </row>
    <row r="357" spans="1:22" s="206" customFormat="1" ht="12.75">
      <c r="A357" s="113"/>
      <c r="B357" s="113" t="s">
        <v>173</v>
      </c>
      <c r="C357" s="25"/>
      <c r="D357" s="226">
        <f>+H357-21756</f>
        <v>0</v>
      </c>
      <c r="E357" s="24"/>
      <c r="F357" s="288">
        <f>+J357-34282</f>
        <v>46546</v>
      </c>
      <c r="G357" s="23"/>
      <c r="H357" s="226">
        <v>21756</v>
      </c>
      <c r="I357" s="305"/>
      <c r="J357" s="288">
        <v>80828</v>
      </c>
      <c r="K357" s="24"/>
      <c r="L357" s="288">
        <v>194624</v>
      </c>
      <c r="M357" s="23"/>
      <c r="N357" s="23"/>
      <c r="O357" s="5"/>
      <c r="P357" s="2"/>
      <c r="Q357" s="2"/>
      <c r="R357" s="2"/>
      <c r="S357" s="2"/>
      <c r="T357" s="2"/>
      <c r="U357" s="2"/>
      <c r="V357" s="205"/>
    </row>
    <row r="358" spans="1:22" s="206" customFormat="1" ht="12.75">
      <c r="A358" s="25"/>
      <c r="B358" s="25" t="s">
        <v>177</v>
      </c>
      <c r="C358" s="25"/>
      <c r="D358" s="58">
        <f>+H358-(22551+708)</f>
        <v>0</v>
      </c>
      <c r="E358" s="24"/>
      <c r="F358" s="22">
        <f>+J358-(36482+56+2188)</f>
        <v>39472</v>
      </c>
      <c r="G358" s="22"/>
      <c r="H358" s="58">
        <f>22551+708</f>
        <v>23259</v>
      </c>
      <c r="I358" s="305"/>
      <c r="J358" s="22">
        <f>74517+3681</f>
        <v>78198</v>
      </c>
      <c r="K358" s="24"/>
      <c r="L358" s="22">
        <f>168641+4+7352</f>
        <v>175997</v>
      </c>
      <c r="M358" s="23"/>
      <c r="N358" s="28"/>
      <c r="O358" s="5"/>
      <c r="P358" s="2"/>
      <c r="Q358" s="2"/>
      <c r="R358" s="2"/>
      <c r="S358" s="2"/>
      <c r="T358" s="2"/>
      <c r="U358" s="2"/>
      <c r="V358" s="205"/>
    </row>
    <row r="359" spans="1:22" s="206" customFormat="1" ht="12.75">
      <c r="A359" s="25"/>
      <c r="B359" s="25" t="s">
        <v>174</v>
      </c>
      <c r="C359" s="25"/>
      <c r="D359" s="58">
        <f>+H359-0</f>
        <v>0</v>
      </c>
      <c r="E359" s="24"/>
      <c r="F359" s="22">
        <f>+J359-5880</f>
        <v>6117</v>
      </c>
      <c r="G359" s="22"/>
      <c r="H359" s="58">
        <v>0</v>
      </c>
      <c r="I359" s="305"/>
      <c r="J359" s="22">
        <v>11997</v>
      </c>
      <c r="K359" s="24"/>
      <c r="L359" s="22">
        <v>22702</v>
      </c>
      <c r="M359" s="23"/>
      <c r="N359" s="28"/>
      <c r="O359" s="5"/>
      <c r="P359" s="2"/>
      <c r="Q359" s="2"/>
      <c r="R359" s="2"/>
      <c r="S359" s="2"/>
      <c r="T359" s="2"/>
      <c r="U359" s="2"/>
      <c r="V359" s="205"/>
    </row>
    <row r="360" spans="1:22" s="206" customFormat="1" ht="12.75">
      <c r="A360" s="229"/>
      <c r="B360" s="229" t="s">
        <v>176</v>
      </c>
      <c r="C360" s="25"/>
      <c r="D360" s="103">
        <f>SUM(D358:D359)</f>
        <v>0</v>
      </c>
      <c r="E360" s="28"/>
      <c r="F360" s="100">
        <f>SUM(F358:F359)</f>
        <v>45589</v>
      </c>
      <c r="G360" s="28"/>
      <c r="H360" s="103">
        <f>SUM(H358:H359)</f>
        <v>23259</v>
      </c>
      <c r="I360" s="295"/>
      <c r="J360" s="100">
        <f>SUM(J358:J359)</f>
        <v>90195</v>
      </c>
      <c r="K360" s="28"/>
      <c r="L360" s="100">
        <f>SUM(L358:L359)</f>
        <v>198699</v>
      </c>
      <c r="M360" s="28"/>
      <c r="N360" s="28"/>
      <c r="O360" s="5"/>
      <c r="P360" s="2"/>
      <c r="Q360" s="2"/>
      <c r="R360" s="2"/>
      <c r="S360" s="2"/>
      <c r="T360" s="2"/>
      <c r="U360" s="2"/>
      <c r="V360" s="205"/>
    </row>
    <row r="361" spans="1:22" s="206" customFormat="1" ht="12.75">
      <c r="A361" s="32"/>
      <c r="B361" s="32" t="s">
        <v>175</v>
      </c>
      <c r="C361" s="25"/>
      <c r="D361" s="58">
        <f>+D357-D360</f>
        <v>0</v>
      </c>
      <c r="E361" s="22"/>
      <c r="F361" s="22">
        <f>+F357-F360</f>
        <v>957</v>
      </c>
      <c r="G361" s="22"/>
      <c r="H361" s="58">
        <f>+H357-H360</f>
        <v>-1503</v>
      </c>
      <c r="I361" s="307"/>
      <c r="J361" s="22">
        <f>+J357-J360</f>
        <v>-9367</v>
      </c>
      <c r="K361" s="28"/>
      <c r="L361" s="22">
        <f>+L357-L360</f>
        <v>-4075</v>
      </c>
      <c r="M361" s="28"/>
      <c r="N361" s="28"/>
      <c r="O361" s="5"/>
      <c r="P361" s="2"/>
      <c r="Q361" s="2"/>
      <c r="R361" s="2"/>
      <c r="S361" s="2"/>
      <c r="T361" s="2"/>
      <c r="U361" s="2"/>
      <c r="V361" s="205"/>
    </row>
    <row r="362" spans="1:22" s="206" customFormat="1" ht="12.75">
      <c r="A362" s="32"/>
      <c r="B362" s="32" t="s">
        <v>180</v>
      </c>
      <c r="C362" s="25"/>
      <c r="D362" s="58">
        <f>+H362-286</f>
        <v>0</v>
      </c>
      <c r="E362" s="22"/>
      <c r="F362" s="22">
        <f>+J362--163</f>
        <v>2142</v>
      </c>
      <c r="G362" s="22"/>
      <c r="H362" s="58">
        <v>286</v>
      </c>
      <c r="I362" s="307"/>
      <c r="J362" s="22">
        <v>1979</v>
      </c>
      <c r="K362" s="28"/>
      <c r="L362" s="22">
        <v>2352</v>
      </c>
      <c r="M362" s="28"/>
      <c r="N362" s="28"/>
      <c r="O362" s="5"/>
      <c r="P362" s="2"/>
      <c r="Q362" s="2"/>
      <c r="R362" s="2"/>
      <c r="S362" s="2"/>
      <c r="T362" s="2"/>
      <c r="U362" s="2"/>
      <c r="V362" s="205"/>
    </row>
    <row r="363" spans="1:22" s="206" customFormat="1" ht="12.75">
      <c r="A363" s="229"/>
      <c r="B363" s="229" t="s">
        <v>277</v>
      </c>
      <c r="C363" s="25"/>
      <c r="D363" s="60">
        <f>SUM(D361:D362)</f>
        <v>0</v>
      </c>
      <c r="E363" s="34"/>
      <c r="F363" s="29">
        <f>SUM(F361:F362)</f>
        <v>3099</v>
      </c>
      <c r="G363" s="30"/>
      <c r="H363" s="60">
        <f>SUM(H361:H362)</f>
        <v>-1217</v>
      </c>
      <c r="I363" s="312"/>
      <c r="J363" s="29">
        <f>SUM(J361:J362)</f>
        <v>-7388</v>
      </c>
      <c r="K363" s="34"/>
      <c r="L363" s="29">
        <f>SUM(L361:L362)</f>
        <v>-1723</v>
      </c>
      <c r="M363" s="23"/>
      <c r="N363" s="30"/>
      <c r="O363" s="5"/>
      <c r="P363" s="2"/>
      <c r="Q363" s="2"/>
      <c r="R363" s="2"/>
      <c r="S363" s="2"/>
      <c r="T363" s="2"/>
      <c r="U363" s="2"/>
      <c r="V363" s="205"/>
    </row>
    <row r="364" spans="1:22" s="206" customFormat="1" ht="12.75">
      <c r="A364" s="32" t="s">
        <v>178</v>
      </c>
      <c r="B364" s="32"/>
      <c r="C364" s="25"/>
      <c r="D364" s="16"/>
      <c r="E364" s="16"/>
      <c r="F364" s="16"/>
      <c r="G364" s="16"/>
      <c r="H364" s="16"/>
      <c r="I364" s="16"/>
      <c r="J364" s="16"/>
      <c r="K364" s="16"/>
      <c r="L364" s="16"/>
      <c r="M364" s="18"/>
      <c r="N364" s="18"/>
      <c r="O364" s="5"/>
      <c r="P364" s="2"/>
      <c r="Q364" s="2"/>
      <c r="R364" s="2"/>
      <c r="S364" s="2"/>
      <c r="T364" s="2"/>
      <c r="U364" s="2"/>
      <c r="V364" s="205"/>
    </row>
    <row r="365" spans="1:22" s="206" customFormat="1" ht="12.75">
      <c r="A365" s="32"/>
      <c r="B365" s="32"/>
      <c r="C365" s="25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2"/>
      <c r="P365" s="2"/>
      <c r="Q365" s="2"/>
      <c r="R365" s="2"/>
      <c r="S365" s="2"/>
      <c r="T365" s="2"/>
      <c r="U365" s="2"/>
      <c r="V365" s="205"/>
    </row>
    <row r="366" spans="1:22" s="206" customFormat="1" ht="13.5" thickBot="1">
      <c r="A366" s="6" t="s">
        <v>171</v>
      </c>
      <c r="B366" s="6"/>
      <c r="C366" s="6"/>
      <c r="D366" s="80"/>
      <c r="E366" s="51"/>
      <c r="F366" s="51"/>
      <c r="G366" s="51"/>
      <c r="H366" s="51"/>
      <c r="I366" s="51"/>
      <c r="J366" s="51"/>
      <c r="K366" s="51"/>
      <c r="L366" s="16"/>
      <c r="M366" s="28"/>
      <c r="N366" s="28"/>
      <c r="O366" s="2"/>
      <c r="P366" s="2"/>
      <c r="Q366" s="2"/>
      <c r="R366" s="2"/>
      <c r="S366" s="2"/>
      <c r="T366" s="2"/>
      <c r="U366" s="2"/>
      <c r="V366" s="205"/>
    </row>
    <row r="367" spans="1:22" s="206" customFormat="1" ht="12.75">
      <c r="A367" s="5"/>
      <c r="B367" s="5"/>
      <c r="C367" s="5"/>
      <c r="D367" s="322" t="s">
        <v>8</v>
      </c>
      <c r="E367" s="322"/>
      <c r="F367" s="322"/>
      <c r="G367" s="66"/>
      <c r="H367" s="317" t="s">
        <v>261</v>
      </c>
      <c r="I367" s="317"/>
      <c r="J367" s="317"/>
      <c r="K367" s="125"/>
      <c r="L367" s="270" t="s">
        <v>37</v>
      </c>
      <c r="M367" s="280"/>
      <c r="N367" s="280"/>
      <c r="O367" s="2"/>
      <c r="P367" s="2"/>
      <c r="Q367" s="2"/>
      <c r="R367" s="2"/>
      <c r="S367" s="2"/>
      <c r="T367" s="2"/>
      <c r="U367" s="2"/>
      <c r="V367" s="205"/>
    </row>
    <row r="368" spans="1:22" s="206" customFormat="1" ht="12.75">
      <c r="A368" s="2"/>
      <c r="B368" s="2"/>
      <c r="C368" s="2"/>
      <c r="D368" s="318" t="s">
        <v>262</v>
      </c>
      <c r="E368" s="318"/>
      <c r="F368" s="318"/>
      <c r="G368" s="1"/>
      <c r="H368" s="316" t="s">
        <v>262</v>
      </c>
      <c r="I368" s="316"/>
      <c r="J368" s="316"/>
      <c r="K368" s="67"/>
      <c r="L368" s="239" t="s">
        <v>6</v>
      </c>
      <c r="M368" s="278"/>
      <c r="N368" s="278"/>
      <c r="O368" s="2"/>
      <c r="P368" s="2"/>
      <c r="Q368" s="2"/>
      <c r="R368" s="2"/>
      <c r="S368" s="2"/>
      <c r="T368" s="2"/>
      <c r="U368" s="2"/>
      <c r="V368" s="205"/>
    </row>
    <row r="369" spans="1:22" s="206" customFormat="1" ht="12.75">
      <c r="A369" s="13" t="s">
        <v>7</v>
      </c>
      <c r="B369" s="12"/>
      <c r="C369" s="2"/>
      <c r="D369" s="56">
        <v>2010</v>
      </c>
      <c r="E369" s="129"/>
      <c r="F369" s="26">
        <v>2009</v>
      </c>
      <c r="G369" s="68"/>
      <c r="H369" s="290">
        <v>2010</v>
      </c>
      <c r="I369" s="129"/>
      <c r="J369" s="299">
        <v>2009</v>
      </c>
      <c r="K369" s="68"/>
      <c r="L369" s="272">
        <v>2009</v>
      </c>
      <c r="M369" s="114"/>
      <c r="N369" s="68"/>
      <c r="O369" s="2"/>
      <c r="P369" s="2"/>
      <c r="Q369" s="2"/>
      <c r="R369" s="2"/>
      <c r="S369" s="2"/>
      <c r="T369" s="2"/>
      <c r="U369" s="2"/>
      <c r="V369" s="205"/>
    </row>
    <row r="370" spans="1:22" s="206" customFormat="1" ht="12.75">
      <c r="A370" s="65"/>
      <c r="B370" s="5"/>
      <c r="C370" s="2"/>
      <c r="D370" s="321" t="s">
        <v>5</v>
      </c>
      <c r="E370" s="321"/>
      <c r="F370" s="321"/>
      <c r="G370" s="321"/>
      <c r="H370" s="321"/>
      <c r="I370" s="321"/>
      <c r="J370" s="321"/>
      <c r="K370" s="321"/>
      <c r="L370" s="321"/>
      <c r="M370" s="224"/>
      <c r="N370" s="224"/>
      <c r="O370" s="2"/>
      <c r="P370" s="2"/>
      <c r="Q370" s="2"/>
      <c r="R370" s="2"/>
      <c r="S370" s="2"/>
      <c r="T370" s="2"/>
      <c r="U370" s="2"/>
      <c r="V370" s="205"/>
    </row>
    <row r="371" spans="1:22" s="206" customFormat="1" ht="12.75">
      <c r="A371" s="65"/>
      <c r="B371" s="5" t="s">
        <v>278</v>
      </c>
      <c r="C371" s="2"/>
      <c r="D371" s="57">
        <f>+D363</f>
        <v>0</v>
      </c>
      <c r="E371" s="14"/>
      <c r="F371" s="24">
        <f>+F363</f>
        <v>3099</v>
      </c>
      <c r="G371" s="24"/>
      <c r="H371" s="57">
        <f>+H363</f>
        <v>-1217</v>
      </c>
      <c r="I371" s="269"/>
      <c r="J371" s="24">
        <f>+J363</f>
        <v>-7388</v>
      </c>
      <c r="K371" s="24"/>
      <c r="L371" s="24">
        <f>+L363</f>
        <v>-1723</v>
      </c>
      <c r="M371" s="17"/>
      <c r="N371" s="23"/>
      <c r="O371" s="2"/>
      <c r="P371" s="2"/>
      <c r="Q371" s="2"/>
      <c r="R371" s="2"/>
      <c r="S371" s="2"/>
      <c r="T371" s="2"/>
      <c r="U371" s="2"/>
      <c r="V371" s="205"/>
    </row>
    <row r="372" spans="1:22" ht="12.75">
      <c r="A372" s="2"/>
      <c r="B372" s="2" t="s">
        <v>253</v>
      </c>
      <c r="D372" s="58">
        <f>+H372-0</f>
        <v>1000</v>
      </c>
      <c r="E372" s="24"/>
      <c r="F372" s="22">
        <f>+J372-0</f>
        <v>1000</v>
      </c>
      <c r="G372" s="22"/>
      <c r="H372" s="58">
        <v>1000</v>
      </c>
      <c r="I372" s="305"/>
      <c r="J372" s="22">
        <v>1000</v>
      </c>
      <c r="K372" s="24"/>
      <c r="L372" s="22">
        <v>1956</v>
      </c>
      <c r="M372" s="23"/>
      <c r="N372" s="28"/>
      <c r="V372" s="76"/>
    </row>
    <row r="373" spans="1:22" ht="12.75">
      <c r="A373" s="2"/>
      <c r="B373" s="2" t="s">
        <v>248</v>
      </c>
      <c r="C373" s="296"/>
      <c r="D373" s="58">
        <f>H373-(8541+261-H374)-D374</f>
        <v>3</v>
      </c>
      <c r="E373" s="24"/>
      <c r="F373" s="22">
        <f>+J373-0</f>
        <v>0</v>
      </c>
      <c r="G373" s="22"/>
      <c r="H373" s="58">
        <f>15023+4+861-1152-4</f>
        <v>14732</v>
      </c>
      <c r="I373" s="305"/>
      <c r="J373" s="22">
        <v>0</v>
      </c>
      <c r="K373" s="24"/>
      <c r="L373" s="22">
        <v>0</v>
      </c>
      <c r="M373" s="23"/>
      <c r="N373" s="28"/>
      <c r="V373" s="76"/>
    </row>
    <row r="374" spans="1:22" ht="12.75">
      <c r="A374" s="2"/>
      <c r="B374" s="2" t="s">
        <v>205</v>
      </c>
      <c r="C374" s="296"/>
      <c r="D374" s="58">
        <f>+H374--5927</f>
        <v>4</v>
      </c>
      <c r="E374" s="24"/>
      <c r="F374" s="22">
        <f>+J374-0</f>
        <v>0</v>
      </c>
      <c r="G374" s="22"/>
      <c r="H374" s="58">
        <f>-5927+4</f>
        <v>-5923</v>
      </c>
      <c r="I374" s="305"/>
      <c r="J374" s="22">
        <v>0</v>
      </c>
      <c r="K374" s="24"/>
      <c r="L374" s="22">
        <v>-2368</v>
      </c>
      <c r="M374" s="23"/>
      <c r="N374" s="28"/>
      <c r="V374" s="76"/>
    </row>
    <row r="375" spans="1:22" ht="12.75">
      <c r="A375" s="2"/>
      <c r="B375" s="2" t="s">
        <v>172</v>
      </c>
      <c r="D375" s="58">
        <f>+H375-(-3745+2394)</f>
        <v>1294</v>
      </c>
      <c r="E375" s="24"/>
      <c r="F375" s="22">
        <f>+J375-3046</f>
        <v>760</v>
      </c>
      <c r="G375" s="22"/>
      <c r="H375" s="58">
        <f>-3745+2394+1294</f>
        <v>-57</v>
      </c>
      <c r="I375" s="305"/>
      <c r="J375" s="22">
        <f>3046+760</f>
        <v>3806</v>
      </c>
      <c r="K375" s="24"/>
      <c r="L375" s="22">
        <v>-6113</v>
      </c>
      <c r="M375" s="23"/>
      <c r="N375" s="28"/>
      <c r="V375" s="76"/>
    </row>
    <row r="376" spans="1:22" ht="12.75">
      <c r="A376" s="4"/>
      <c r="B376" s="4" t="s">
        <v>0</v>
      </c>
      <c r="C376" s="2"/>
      <c r="D376" s="60">
        <f>SUM(D371:D375)</f>
        <v>2301</v>
      </c>
      <c r="E376" s="16"/>
      <c r="F376" s="29">
        <f>SUM(F371:F375)</f>
        <v>4859</v>
      </c>
      <c r="G376" s="30"/>
      <c r="H376" s="60">
        <f>SUM(H371:H375)</f>
        <v>8535</v>
      </c>
      <c r="I376" s="16"/>
      <c r="J376" s="29">
        <f>SUM(J371:J375)</f>
        <v>-2582</v>
      </c>
      <c r="K376" s="30"/>
      <c r="L376" s="29">
        <f>SUM(L371:L375)</f>
        <v>-8248</v>
      </c>
      <c r="M376" s="18"/>
      <c r="N376" s="30"/>
      <c r="V376" s="76"/>
    </row>
    <row r="377" ht="12.75"/>
    <row r="378" spans="1:22" ht="13.5" thickBot="1">
      <c r="A378" s="6" t="s">
        <v>206</v>
      </c>
      <c r="B378" s="6"/>
      <c r="C378" s="6"/>
      <c r="D378" s="20"/>
      <c r="E378" s="20"/>
      <c r="F378" s="20"/>
      <c r="G378" s="20"/>
      <c r="H378" s="20"/>
      <c r="I378" s="18"/>
      <c r="J378" s="18"/>
      <c r="K378" s="18"/>
      <c r="L378" s="18"/>
      <c r="M378" s="5"/>
      <c r="N378" s="5"/>
      <c r="V378" s="76"/>
    </row>
    <row r="379" spans="4:8" ht="12.75">
      <c r="D379" s="319" t="s">
        <v>264</v>
      </c>
      <c r="E379" s="319"/>
      <c r="F379" s="319"/>
      <c r="G379" s="1"/>
      <c r="H379" s="289" t="s">
        <v>6</v>
      </c>
    </row>
    <row r="380" spans="1:8" ht="12.75">
      <c r="A380" s="13" t="s">
        <v>7</v>
      </c>
      <c r="B380" s="13"/>
      <c r="D380" s="290">
        <v>2010</v>
      </c>
      <c r="E380" s="68"/>
      <c r="F380" s="291">
        <v>2009</v>
      </c>
      <c r="G380" s="84"/>
      <c r="H380" s="272">
        <v>2009</v>
      </c>
    </row>
    <row r="381" spans="1:8" ht="12.75" customHeight="1">
      <c r="A381" s="2" t="s">
        <v>208</v>
      </c>
      <c r="B381" s="65"/>
      <c r="D381" s="314" t="s">
        <v>5</v>
      </c>
      <c r="E381" s="314"/>
      <c r="F381" s="314"/>
      <c r="G381" s="314"/>
      <c r="H381" s="314"/>
    </row>
    <row r="382" spans="1:8" ht="12.75">
      <c r="A382" s="2"/>
      <c r="B382" s="2" t="s">
        <v>188</v>
      </c>
      <c r="C382" s="2"/>
      <c r="D382" s="57">
        <v>3000</v>
      </c>
      <c r="E382" s="295"/>
      <c r="F382" s="24">
        <v>5250</v>
      </c>
      <c r="G382" s="24"/>
      <c r="H382" s="24">
        <v>3000</v>
      </c>
    </row>
    <row r="383" spans="1:8" ht="12.75">
      <c r="A383" s="2"/>
      <c r="B383" s="2" t="s">
        <v>279</v>
      </c>
      <c r="C383" s="2"/>
      <c r="D383" s="58">
        <v>0</v>
      </c>
      <c r="E383" s="295"/>
      <c r="F383" s="22">
        <v>58000</v>
      </c>
      <c r="G383" s="24"/>
      <c r="H383" s="22">
        <v>0</v>
      </c>
    </row>
    <row r="384" spans="1:8" ht="12.75">
      <c r="A384" s="2"/>
      <c r="B384" s="2" t="s">
        <v>189</v>
      </c>
      <c r="C384" s="2"/>
      <c r="D384" s="58">
        <v>0</v>
      </c>
      <c r="E384" s="295"/>
      <c r="F384" s="22">
        <v>0</v>
      </c>
      <c r="G384" s="22"/>
      <c r="H384" s="22">
        <v>74024</v>
      </c>
    </row>
    <row r="385" spans="1:8" ht="12.75">
      <c r="A385" s="2"/>
      <c r="B385" s="2" t="s">
        <v>192</v>
      </c>
      <c r="C385" s="2"/>
      <c r="D385" s="58">
        <v>0</v>
      </c>
      <c r="E385" s="295"/>
      <c r="F385" s="22">
        <v>0</v>
      </c>
      <c r="G385" s="22"/>
      <c r="H385" s="22">
        <v>150268</v>
      </c>
    </row>
    <row r="386" spans="1:8" ht="12.75">
      <c r="A386" s="4"/>
      <c r="B386" s="4" t="s">
        <v>191</v>
      </c>
      <c r="D386" s="60">
        <f>SUM(D382:D385)</f>
        <v>3000</v>
      </c>
      <c r="E386" s="28"/>
      <c r="F386" s="29">
        <f>SUM(F382:F385)</f>
        <v>63250</v>
      </c>
      <c r="G386" s="30"/>
      <c r="H386" s="29">
        <f>SUM(H382:H385)</f>
        <v>227292</v>
      </c>
    </row>
    <row r="387" spans="1:8" ht="12.75">
      <c r="A387" s="2" t="s">
        <v>207</v>
      </c>
      <c r="D387" s="25"/>
      <c r="E387" s="32"/>
      <c r="F387" s="25"/>
      <c r="G387" s="25"/>
      <c r="H387" s="25"/>
    </row>
    <row r="388" spans="1:8" ht="12.75">
      <c r="A388" s="2"/>
      <c r="B388" s="2" t="s">
        <v>187</v>
      </c>
      <c r="C388" s="2"/>
      <c r="D388" s="57">
        <v>0</v>
      </c>
      <c r="E388" s="28"/>
      <c r="F388" s="24">
        <v>0</v>
      </c>
      <c r="G388" s="24"/>
      <c r="H388" s="24">
        <v>26008</v>
      </c>
    </row>
    <row r="389" spans="1:8" ht="12.75">
      <c r="A389" s="4"/>
      <c r="B389" s="4" t="s">
        <v>190</v>
      </c>
      <c r="D389" s="60">
        <f>SUM(D387:D388)</f>
        <v>0</v>
      </c>
      <c r="E389" s="28"/>
      <c r="F389" s="29">
        <f>SUM(F387:F388)</f>
        <v>0</v>
      </c>
      <c r="G389" s="30"/>
      <c r="H389" s="29">
        <f>SUM(H387:H388)</f>
        <v>26008</v>
      </c>
    </row>
    <row r="390" ht="12.75">
      <c r="A390" s="2" t="s">
        <v>247</v>
      </c>
    </row>
    <row r="392" spans="1:16" ht="12.75">
      <c r="A392" s="268"/>
      <c r="P392" s="268"/>
    </row>
    <row r="393" ht="15">
      <c r="A393" s="8" t="s">
        <v>209</v>
      </c>
    </row>
    <row r="394" spans="1:18" ht="13.5" thickBot="1">
      <c r="A394" s="6" t="s">
        <v>233</v>
      </c>
      <c r="B394" s="241"/>
      <c r="C394" s="241"/>
      <c r="D394" s="242"/>
      <c r="E394" s="265"/>
      <c r="F394" s="242"/>
      <c r="G394" s="242"/>
      <c r="H394" s="242"/>
      <c r="I394" s="242"/>
      <c r="J394" s="242"/>
      <c r="K394" s="242"/>
      <c r="L394" s="242"/>
      <c r="M394" s="242"/>
      <c r="N394" s="242"/>
      <c r="O394" s="265"/>
      <c r="P394" s="242"/>
      <c r="Q394" s="25"/>
      <c r="R394" s="25"/>
    </row>
    <row r="395" spans="1:14" ht="12.75">
      <c r="A395" s="47"/>
      <c r="B395" s="13"/>
      <c r="D395" s="239" t="s">
        <v>229</v>
      </c>
      <c r="F395" s="239" t="s">
        <v>230</v>
      </c>
      <c r="G395" s="1"/>
      <c r="H395" s="239" t="s">
        <v>231</v>
      </c>
      <c r="I395"/>
      <c r="J395" s="272" t="s">
        <v>232</v>
      </c>
      <c r="K395" s="122"/>
      <c r="L395" s="272">
        <v>2009</v>
      </c>
      <c r="N395" s="32"/>
    </row>
    <row r="396" spans="1:14" ht="12.75">
      <c r="A396" s="243"/>
      <c r="B396" s="243"/>
      <c r="C396" s="243"/>
      <c r="D396" s="315" t="s">
        <v>5</v>
      </c>
      <c r="E396" s="315"/>
      <c r="F396" s="315"/>
      <c r="G396" s="315"/>
      <c r="H396" s="315"/>
      <c r="I396" s="315"/>
      <c r="J396" s="315"/>
      <c r="K396" s="315"/>
      <c r="L396" s="315"/>
      <c r="N396" s="32"/>
    </row>
    <row r="397" spans="1:14" ht="12.75">
      <c r="A397" s="244" t="s">
        <v>210</v>
      </c>
      <c r="B397" s="244"/>
      <c r="C397" s="245"/>
      <c r="D397" s="247">
        <v>390822</v>
      </c>
      <c r="E397" s="248"/>
      <c r="F397" s="247">
        <v>294270</v>
      </c>
      <c r="G397" s="248"/>
      <c r="H397" s="247">
        <v>361453</v>
      </c>
      <c r="I397" s="246"/>
      <c r="J397" s="247">
        <v>303657</v>
      </c>
      <c r="K397" s="248"/>
      <c r="L397" s="247">
        <f>SUM(D397:J397)</f>
        <v>1350202</v>
      </c>
      <c r="N397" s="248"/>
    </row>
    <row r="398" spans="1:14" ht="12.75">
      <c r="A398" s="249"/>
      <c r="B398" s="249" t="s">
        <v>7</v>
      </c>
      <c r="C398" s="245"/>
      <c r="D398" s="252"/>
      <c r="E398" s="266"/>
      <c r="F398" s="252"/>
      <c r="G398" s="252"/>
      <c r="H398" s="252"/>
      <c r="I398" s="250"/>
      <c r="J398" s="252" t="s">
        <v>211</v>
      </c>
      <c r="K398" s="251"/>
      <c r="L398" s="252"/>
      <c r="N398" s="266"/>
    </row>
    <row r="399" spans="1:14" ht="12.75">
      <c r="A399" s="249" t="s">
        <v>212</v>
      </c>
      <c r="B399" s="249"/>
      <c r="C399" s="245"/>
      <c r="D399" s="255">
        <v>164908</v>
      </c>
      <c r="E399" s="257"/>
      <c r="F399" s="255">
        <v>121461</v>
      </c>
      <c r="G399" s="255"/>
      <c r="H399" s="255">
        <v>175882</v>
      </c>
      <c r="I399" s="253"/>
      <c r="J399" s="255">
        <f>143529+200</f>
        <v>143729</v>
      </c>
      <c r="K399" s="254"/>
      <c r="L399" s="255">
        <f>SUM(D399:J399)</f>
        <v>605980</v>
      </c>
      <c r="N399" s="257"/>
    </row>
    <row r="400" spans="1:14" ht="12.75">
      <c r="A400" s="249" t="s">
        <v>213</v>
      </c>
      <c r="B400" s="249"/>
      <c r="C400" s="245"/>
      <c r="D400" s="255">
        <v>6040</v>
      </c>
      <c r="E400" s="267"/>
      <c r="F400" s="255">
        <v>6949</v>
      </c>
      <c r="G400" s="255"/>
      <c r="H400" s="255">
        <v>4643</v>
      </c>
      <c r="I400" s="256"/>
      <c r="J400" s="255">
        <v>5174</v>
      </c>
      <c r="K400" s="254"/>
      <c r="L400" s="255">
        <f>SUM(D400:J400)</f>
        <v>22806</v>
      </c>
      <c r="N400" s="257"/>
    </row>
    <row r="401" spans="1:14" ht="12.75">
      <c r="A401" s="245" t="s">
        <v>214</v>
      </c>
      <c r="B401" s="245"/>
      <c r="C401" s="245"/>
      <c r="D401" s="257">
        <v>13537</v>
      </c>
      <c r="E401" s="257"/>
      <c r="F401" s="257">
        <v>11713</v>
      </c>
      <c r="G401" s="257"/>
      <c r="H401" s="257">
        <v>10777</v>
      </c>
      <c r="I401" s="253"/>
      <c r="J401" s="257">
        <v>13243</v>
      </c>
      <c r="K401" s="253"/>
      <c r="L401" s="257">
        <f>SUM(D401:J401)</f>
        <v>49270</v>
      </c>
      <c r="N401" s="257"/>
    </row>
    <row r="402" spans="1:14" ht="12.75">
      <c r="A402" s="249" t="s">
        <v>215</v>
      </c>
      <c r="B402" s="249"/>
      <c r="C402" s="245"/>
      <c r="D402" s="255">
        <v>51150</v>
      </c>
      <c r="E402" s="267"/>
      <c r="F402" s="255">
        <v>72992</v>
      </c>
      <c r="G402" s="255"/>
      <c r="H402" s="255">
        <v>65067</v>
      </c>
      <c r="I402" s="256"/>
      <c r="J402" s="255">
        <v>96060</v>
      </c>
      <c r="K402" s="254"/>
      <c r="L402" s="255">
        <f>SUM(D402:J402)</f>
        <v>285269</v>
      </c>
      <c r="N402" s="257"/>
    </row>
    <row r="403" spans="1:14" ht="12.75">
      <c r="A403" s="249" t="s">
        <v>216</v>
      </c>
      <c r="B403" s="249"/>
      <c r="C403" s="245"/>
      <c r="D403" s="255">
        <v>50585</v>
      </c>
      <c r="E403" s="267"/>
      <c r="F403" s="255">
        <f>48138+83</f>
        <v>48221</v>
      </c>
      <c r="G403" s="255"/>
      <c r="H403" s="255">
        <v>52406</v>
      </c>
      <c r="I403" s="256"/>
      <c r="J403" s="255">
        <v>2403</v>
      </c>
      <c r="K403" s="254"/>
      <c r="L403" s="255">
        <f>SUM(D403:J403)</f>
        <v>153615</v>
      </c>
      <c r="N403" s="257"/>
    </row>
    <row r="404" spans="1:14" ht="12.75">
      <c r="A404" s="259"/>
      <c r="B404" s="259" t="s">
        <v>176</v>
      </c>
      <c r="C404" s="245"/>
      <c r="D404" s="260">
        <f>SUM(D399:D403)</f>
        <v>286220</v>
      </c>
      <c r="E404" s="257"/>
      <c r="F404" s="260">
        <f>SUM(F399:F403)</f>
        <v>261336</v>
      </c>
      <c r="G404" s="257"/>
      <c r="H404" s="260">
        <f>SUM(H399:H403)</f>
        <v>308775</v>
      </c>
      <c r="I404" s="253"/>
      <c r="J404" s="260">
        <f>SUM(J398:J403)</f>
        <v>260609</v>
      </c>
      <c r="K404" s="253"/>
      <c r="L404" s="260">
        <f>SUM(L398:L403)</f>
        <v>1116940</v>
      </c>
      <c r="N404" s="257"/>
    </row>
    <row r="405" spans="2:14" ht="12.75">
      <c r="B405" s="245" t="s">
        <v>217</v>
      </c>
      <c r="C405" s="245"/>
      <c r="D405" s="257">
        <f>+D397-D404</f>
        <v>104602</v>
      </c>
      <c r="E405" s="257"/>
      <c r="F405" s="257">
        <f>+F397-F404</f>
        <v>32934</v>
      </c>
      <c r="G405" s="257"/>
      <c r="H405" s="257">
        <f>+H397-H404</f>
        <v>52678</v>
      </c>
      <c r="I405" s="253">
        <f>+I397-I404</f>
        <v>0</v>
      </c>
      <c r="J405" s="257">
        <f>+J397-J404</f>
        <v>43048</v>
      </c>
      <c r="K405" s="257"/>
      <c r="L405" s="257">
        <f>+L397-L404</f>
        <v>233262</v>
      </c>
      <c r="N405" s="257"/>
    </row>
    <row r="406" spans="1:14" ht="12.75">
      <c r="A406" s="245" t="s">
        <v>218</v>
      </c>
      <c r="B406" s="245"/>
      <c r="C406" s="245"/>
      <c r="D406" s="257">
        <v>-376</v>
      </c>
      <c r="E406" s="257"/>
      <c r="F406" s="257">
        <v>-33</v>
      </c>
      <c r="G406" s="257"/>
      <c r="H406" s="257">
        <v>1626</v>
      </c>
      <c r="I406" s="253"/>
      <c r="J406" s="257">
        <v>684</v>
      </c>
      <c r="K406" s="257"/>
      <c r="L406" s="257">
        <f>SUM(D406:J406)</f>
        <v>1901</v>
      </c>
      <c r="N406" s="257"/>
    </row>
    <row r="407" spans="1:14" ht="12.75">
      <c r="A407" s="249" t="s">
        <v>219</v>
      </c>
      <c r="B407" s="249"/>
      <c r="C407" s="245"/>
      <c r="D407" s="257">
        <v>-11019</v>
      </c>
      <c r="E407" s="257"/>
      <c r="F407" s="257">
        <v>-9748</v>
      </c>
      <c r="G407" s="257"/>
      <c r="H407" s="257">
        <v>-10866</v>
      </c>
      <c r="I407" s="253"/>
      <c r="J407" s="257">
        <f>-14515+916</f>
        <v>-13599</v>
      </c>
      <c r="K407" s="257"/>
      <c r="L407" s="257">
        <f>SUM(D407:J407)</f>
        <v>-45232</v>
      </c>
      <c r="N407" s="257"/>
    </row>
    <row r="408" spans="1:14" ht="12.75">
      <c r="A408" s="245" t="s">
        <v>220</v>
      </c>
      <c r="B408" s="249"/>
      <c r="C408" s="245"/>
      <c r="D408" s="257">
        <v>1058</v>
      </c>
      <c r="E408" s="257"/>
      <c r="F408" s="257">
        <v>6320</v>
      </c>
      <c r="G408" s="257"/>
      <c r="H408" s="257">
        <v>14897</v>
      </c>
      <c r="I408" s="253"/>
      <c r="J408" s="257">
        <v>2214</v>
      </c>
      <c r="K408" s="257"/>
      <c r="L408" s="257">
        <f>SUM(D408:J408)</f>
        <v>24489</v>
      </c>
      <c r="N408" s="257"/>
    </row>
    <row r="409" spans="1:14" ht="12.75">
      <c r="A409" s="245" t="s">
        <v>221</v>
      </c>
      <c r="B409" s="249"/>
      <c r="C409" s="245"/>
      <c r="D409" s="257">
        <v>-1895</v>
      </c>
      <c r="E409" s="257"/>
      <c r="F409" s="257">
        <v>-1860</v>
      </c>
      <c r="G409" s="257"/>
      <c r="H409" s="257">
        <v>-3363</v>
      </c>
      <c r="I409" s="253"/>
      <c r="J409" s="257">
        <v>-3999</v>
      </c>
      <c r="K409" s="257"/>
      <c r="L409" s="257">
        <f>SUM(D409:J409)</f>
        <v>-11117</v>
      </c>
      <c r="N409" s="257"/>
    </row>
    <row r="410" spans="1:14" ht="12.75">
      <c r="A410" s="244" t="s">
        <v>222</v>
      </c>
      <c r="B410" s="244"/>
      <c r="C410" s="245"/>
      <c r="D410" s="258">
        <v>-2717</v>
      </c>
      <c r="E410" s="257"/>
      <c r="F410" s="258">
        <v>12561</v>
      </c>
      <c r="G410" s="257"/>
      <c r="H410" s="258">
        <v>13450</v>
      </c>
      <c r="I410" s="253"/>
      <c r="J410" s="258">
        <v>1512</v>
      </c>
      <c r="K410" s="257"/>
      <c r="L410" s="258">
        <f>SUM(D410:J410)</f>
        <v>24806</v>
      </c>
      <c r="N410" s="257"/>
    </row>
    <row r="411" spans="1:14" ht="12.75">
      <c r="A411" s="249" t="s">
        <v>7</v>
      </c>
      <c r="B411" s="249" t="s">
        <v>223</v>
      </c>
      <c r="C411" s="245"/>
      <c r="D411" s="255">
        <f>SUM(D405:D410)</f>
        <v>89653</v>
      </c>
      <c r="E411" s="257"/>
      <c r="F411" s="255">
        <f>SUM(F405:F410)</f>
        <v>40174</v>
      </c>
      <c r="G411" s="255"/>
      <c r="H411" s="255">
        <f>SUM(H405:H410)</f>
        <v>68422</v>
      </c>
      <c r="I411" s="253"/>
      <c r="J411" s="255">
        <f>SUM(J405:J410)</f>
        <v>29860</v>
      </c>
      <c r="K411" s="254"/>
      <c r="L411" s="255">
        <f>SUM(L405:L410)</f>
        <v>228109</v>
      </c>
      <c r="N411" s="257"/>
    </row>
    <row r="412" spans="1:16" ht="12.75">
      <c r="A412" s="244" t="s">
        <v>224</v>
      </c>
      <c r="B412" s="244"/>
      <c r="C412" s="245"/>
      <c r="D412" s="258">
        <f>25002+3046</f>
        <v>28048</v>
      </c>
      <c r="E412" s="257"/>
      <c r="F412" s="258">
        <f>3233+760</f>
        <v>3993</v>
      </c>
      <c r="G412" s="257"/>
      <c r="H412" s="258">
        <f>24380-8080</f>
        <v>16300</v>
      </c>
      <c r="I412" s="253"/>
      <c r="J412" s="258">
        <f>5155-1554</f>
        <v>3601</v>
      </c>
      <c r="K412" s="257"/>
      <c r="L412" s="258">
        <f>SUM(D412:J412)</f>
        <v>51942</v>
      </c>
      <c r="N412" s="257"/>
      <c r="P412" s="41"/>
    </row>
    <row r="413" spans="2:14" ht="12.75">
      <c r="B413" s="249" t="s">
        <v>225</v>
      </c>
      <c r="C413" s="245"/>
      <c r="D413" s="45">
        <f>+D411-D412</f>
        <v>61605</v>
      </c>
      <c r="E413" s="45"/>
      <c r="F413" s="45">
        <f>+F411-F412</f>
        <v>36181</v>
      </c>
      <c r="G413" s="45"/>
      <c r="H413" s="45">
        <f>+H411-H412</f>
        <v>52122</v>
      </c>
      <c r="I413" s="41"/>
      <c r="J413" s="45">
        <f>J411-J412</f>
        <v>26259</v>
      </c>
      <c r="K413" s="45"/>
      <c r="L413" s="45">
        <f>L411-L412</f>
        <v>176167</v>
      </c>
      <c r="N413" s="53"/>
    </row>
    <row r="414" spans="1:14" ht="12.75">
      <c r="A414" s="244" t="s">
        <v>226</v>
      </c>
      <c r="B414" s="244"/>
      <c r="C414" s="245"/>
      <c r="D414" s="258">
        <f>-10487+3046</f>
        <v>-7441</v>
      </c>
      <c r="E414" s="257"/>
      <c r="F414" s="258">
        <f>3099+1000+760</f>
        <v>4859</v>
      </c>
      <c r="G414" s="257"/>
      <c r="H414" s="258">
        <f>4123-418-8080</f>
        <v>-4375</v>
      </c>
      <c r="I414" s="253"/>
      <c r="J414" s="258">
        <f>263-1554</f>
        <v>-1291</v>
      </c>
      <c r="K414" s="257"/>
      <c r="L414" s="258">
        <f>SUM(D414:J414)</f>
        <v>-8248</v>
      </c>
      <c r="N414" s="257"/>
    </row>
    <row r="415" spans="1:14" ht="13.5" thickBot="1">
      <c r="A415" s="261"/>
      <c r="B415" s="261" t="s">
        <v>227</v>
      </c>
      <c r="C415" s="261"/>
      <c r="D415" s="263">
        <f>SUM(D413:D414)</f>
        <v>54164</v>
      </c>
      <c r="E415" s="263"/>
      <c r="F415" s="263">
        <f>SUM(F413:F414)</f>
        <v>41040</v>
      </c>
      <c r="G415" s="263"/>
      <c r="H415" s="263">
        <f>SUM(H413:H414)</f>
        <v>47747</v>
      </c>
      <c r="I415" s="262"/>
      <c r="J415" s="263">
        <f>SUM(J413:J414)</f>
        <v>24968</v>
      </c>
      <c r="K415" s="263"/>
      <c r="L415" s="263">
        <f>SUM(L413:L414)</f>
        <v>167919</v>
      </c>
      <c r="N415" s="179"/>
    </row>
    <row r="416" spans="1:14" ht="12.75">
      <c r="A416" s="177"/>
      <c r="B416" s="177"/>
      <c r="C416" s="177"/>
      <c r="D416" s="179"/>
      <c r="E416" s="179"/>
      <c r="F416" s="179"/>
      <c r="G416" s="179"/>
      <c r="H416" s="179"/>
      <c r="I416" s="180"/>
      <c r="J416" s="179"/>
      <c r="K416" s="179"/>
      <c r="L416" s="179"/>
      <c r="N416" s="179"/>
    </row>
    <row r="417" spans="1:14" ht="12.75">
      <c r="A417" s="244" t="s">
        <v>228</v>
      </c>
      <c r="B417" s="244"/>
      <c r="C417" s="245"/>
      <c r="D417" s="264">
        <v>0</v>
      </c>
      <c r="E417" s="266"/>
      <c r="F417" s="264">
        <v>-2</v>
      </c>
      <c r="G417" s="266"/>
      <c r="H417" s="264">
        <v>-1</v>
      </c>
      <c r="I417" s="250"/>
      <c r="J417" s="264">
        <v>2097</v>
      </c>
      <c r="K417" s="250"/>
      <c r="L417" s="264">
        <f>SUM(D417:J417)</f>
        <v>2094</v>
      </c>
      <c r="N417" s="266"/>
    </row>
    <row r="418" spans="1:14" ht="13.5" thickBot="1">
      <c r="A418" s="261"/>
      <c r="B418" s="261" t="s">
        <v>154</v>
      </c>
      <c r="C418" s="261"/>
      <c r="D418" s="263">
        <f>+D415-D417</f>
        <v>54164</v>
      </c>
      <c r="E418" s="263"/>
      <c r="F418" s="263">
        <f>+F415-F417</f>
        <v>41042</v>
      </c>
      <c r="G418" s="263"/>
      <c r="H418" s="263">
        <f>+H415-H417</f>
        <v>47748</v>
      </c>
      <c r="I418" s="262"/>
      <c r="J418" s="263">
        <f>+J415-J417</f>
        <v>22871</v>
      </c>
      <c r="K418" s="263"/>
      <c r="L418" s="263">
        <f>+L415-L417</f>
        <v>165825</v>
      </c>
      <c r="N418" s="179"/>
    </row>
    <row r="419" spans="1:18" ht="12.75">
      <c r="A419" s="268"/>
      <c r="R419" s="32"/>
    </row>
    <row r="420" ht="12.75">
      <c r="R420" s="32"/>
    </row>
  </sheetData>
  <sheetProtection/>
  <mergeCells count="89">
    <mergeCell ref="H325:J325"/>
    <mergeCell ref="Q241:R241"/>
    <mergeCell ref="Q239:R239"/>
    <mergeCell ref="D241:L241"/>
    <mergeCell ref="D252:L252"/>
    <mergeCell ref="D239:F239"/>
    <mergeCell ref="D151:L151"/>
    <mergeCell ref="D163:L163"/>
    <mergeCell ref="H174:J174"/>
    <mergeCell ref="H175:J175"/>
    <mergeCell ref="D190:H190"/>
    <mergeCell ref="H206:J206"/>
    <mergeCell ref="Q175:R175"/>
    <mergeCell ref="Q151:R151"/>
    <mergeCell ref="Q238:R238"/>
    <mergeCell ref="D188:F188"/>
    <mergeCell ref="Q163:R163"/>
    <mergeCell ref="Q174:R174"/>
    <mergeCell ref="Q160:R160"/>
    <mergeCell ref="Q161:R161"/>
    <mergeCell ref="Q177:R177"/>
    <mergeCell ref="D160:F160"/>
    <mergeCell ref="D71:F71"/>
    <mergeCell ref="D72:F72"/>
    <mergeCell ref="D44:L44"/>
    <mergeCell ref="D74:L74"/>
    <mergeCell ref="D108:L108"/>
    <mergeCell ref="D105:F105"/>
    <mergeCell ref="D106:F106"/>
    <mergeCell ref="D313:F313"/>
    <mergeCell ref="D206:F206"/>
    <mergeCell ref="A1:Q1"/>
    <mergeCell ref="A2:Q2"/>
    <mergeCell ref="D117:F117"/>
    <mergeCell ref="D137:F137"/>
    <mergeCell ref="D136:F136"/>
    <mergeCell ref="D116:F116"/>
    <mergeCell ref="D41:F41"/>
    <mergeCell ref="D42:F42"/>
    <mergeCell ref="D367:F367"/>
    <mergeCell ref="D354:F354"/>
    <mergeCell ref="D326:F326"/>
    <mergeCell ref="D325:F325"/>
    <mergeCell ref="D174:F174"/>
    <mergeCell ref="D161:F161"/>
    <mergeCell ref="D311:F311"/>
    <mergeCell ref="D238:F238"/>
    <mergeCell ref="D207:F207"/>
    <mergeCell ref="D249:F249"/>
    <mergeCell ref="H105:J105"/>
    <mergeCell ref="H106:J106"/>
    <mergeCell ref="H116:J116"/>
    <mergeCell ref="H117:J117"/>
    <mergeCell ref="H136:J136"/>
    <mergeCell ref="H41:J41"/>
    <mergeCell ref="H42:J42"/>
    <mergeCell ref="H71:J71"/>
    <mergeCell ref="H72:J72"/>
    <mergeCell ref="D119:L119"/>
    <mergeCell ref="D250:F250"/>
    <mergeCell ref="H207:J207"/>
    <mergeCell ref="H137:J137"/>
    <mergeCell ref="H148:J148"/>
    <mergeCell ref="H149:J149"/>
    <mergeCell ref="H160:J160"/>
    <mergeCell ref="H161:J161"/>
    <mergeCell ref="D139:L139"/>
    <mergeCell ref="D148:F148"/>
    <mergeCell ref="D149:F149"/>
    <mergeCell ref="D370:L370"/>
    <mergeCell ref="D353:F353"/>
    <mergeCell ref="D328:L328"/>
    <mergeCell ref="D175:F175"/>
    <mergeCell ref="H238:J238"/>
    <mergeCell ref="H239:J239"/>
    <mergeCell ref="H249:J249"/>
    <mergeCell ref="H250:J250"/>
    <mergeCell ref="D177:L177"/>
    <mergeCell ref="D209:L209"/>
    <mergeCell ref="D381:H381"/>
    <mergeCell ref="D396:L396"/>
    <mergeCell ref="H326:J326"/>
    <mergeCell ref="H353:J353"/>
    <mergeCell ref="H354:J354"/>
    <mergeCell ref="H367:J367"/>
    <mergeCell ref="H368:J368"/>
    <mergeCell ref="D368:F368"/>
    <mergeCell ref="D379:F379"/>
    <mergeCell ref="D356:L356"/>
  </mergeCells>
  <printOptions horizontalCentered="1"/>
  <pageMargins left="0.47244094488189" right="0.236220472440945" top="0.511811023622047" bottom="0.36" header="0.31496062992126" footer="0.22"/>
  <pageSetup fitToHeight="4" horizontalDpi="600" verticalDpi="600" orientation="portrait" paperSize="9" scale="59" r:id="rId1"/>
  <headerFooter alignWithMargins="0">
    <oddFooter>&amp;RPage &amp;P</oddFooter>
  </headerFooter>
  <rowBreaks count="4" manualBreakCount="4">
    <brk id="102" max="16" man="1"/>
    <brk id="185" max="16" man="1"/>
    <brk id="263" max="16" man="1"/>
    <brk id="35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Q2_2010_Notes</dc:title>
  <dc:subject/>
  <dc:creator>Christin Steen-Nilsen</dc:creator>
  <cp:keywords/>
  <dc:description/>
  <cp:lastModifiedBy>anders.otnes</cp:lastModifiedBy>
  <cp:lastPrinted>2010-07-22T08:36:18Z</cp:lastPrinted>
  <dcterms:created xsi:type="dcterms:W3CDTF">2003-02-12T19:44:27Z</dcterms:created>
  <dcterms:modified xsi:type="dcterms:W3CDTF">2010-07-29T06:18:11Z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0x01010078EC3518BF974F4AA619F4189C6D32DF</vt:lpwstr>
  </property>
  <property fmtid="{D5CDD505-2E9C-101B-9397-08002B2CF9AE}" pid="6" name="Approved by">
    <vt:lpwstr>2174;#Terje Glesaaen</vt:lpwstr>
  </property>
  <property fmtid="{D5CDD505-2E9C-101B-9397-08002B2CF9AE}" pid="7" name="Approval date">
    <vt:lpwstr>2010-07-28T00:00:00Z</vt:lpwstr>
  </property>
  <property fmtid="{D5CDD505-2E9C-101B-9397-08002B2CF9AE}" pid="8" name="Status">
    <vt:lpwstr>Completed Q2 2010</vt:lpwstr>
  </property>
  <property fmtid="{D5CDD505-2E9C-101B-9397-08002B2CF9AE}" pid="9" name="Comments">
    <vt:lpwstr/>
  </property>
  <property fmtid="{D5CDD505-2E9C-101B-9397-08002B2CF9AE}" pid="10" name="Send a copy to Q1 2010">
    <vt:lpwstr>false</vt:lpwstr>
  </property>
  <property fmtid="{D5CDD505-2E9C-101B-9397-08002B2CF9AE}" pid="11" name="Send a copy to Q2 2010">
    <vt:lpwstr>false</vt:lpwstr>
  </property>
</Properties>
</file>