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5" windowWidth="28830" windowHeight="7245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</sheets>
  <definedNames>
    <definedName name="_xlnm.Print_Area" localSheetId="1">BS!$A$1:$M$41</definedName>
    <definedName name="_xlnm.Print_Area" localSheetId="2">CF!$A$1:$P$36</definedName>
    <definedName name="_xlnm.Print_Area" localSheetId="3">Equity!$A$1:$N$23</definedName>
    <definedName name="_xlnm.Print_Area" localSheetId="0">'IS &amp; OCI'!$A$1:$P$28</definedName>
    <definedName name="_xlnm.Print_Area" localSheetId="4">Notes!$A$1:$O$267</definedName>
  </definedNames>
  <calcPr calcId="145621"/>
</workbook>
</file>

<file path=xl/calcChain.xml><?xml version="1.0" encoding="utf-8"?>
<calcChain xmlns="http://schemas.openxmlformats.org/spreadsheetml/2006/main">
  <c r="N266" i="7" l="1"/>
  <c r="N265" i="7"/>
  <c r="N267" i="7" s="1"/>
  <c r="L266" i="7"/>
  <c r="L265" i="7"/>
  <c r="H265" i="7"/>
  <c r="H266" i="7"/>
  <c r="L267" i="7" l="1"/>
  <c r="H267" i="7"/>
  <c r="L86" i="7"/>
  <c r="N86" i="7"/>
  <c r="N180" i="7" l="1"/>
  <c r="N90" i="7"/>
  <c r="L90" i="7"/>
  <c r="J90" i="7"/>
  <c r="H90" i="7"/>
  <c r="F90" i="7"/>
  <c r="N84" i="7"/>
  <c r="H84" i="7"/>
  <c r="G27" i="6" l="1"/>
  <c r="J231" i="7" l="1"/>
  <c r="F16" i="8" l="1"/>
  <c r="F76" i="7" l="1"/>
  <c r="J129" i="7" l="1"/>
  <c r="J130" i="7"/>
  <c r="J252" i="7" l="1"/>
  <c r="J72" i="7" l="1"/>
  <c r="N178" i="7"/>
  <c r="L178" i="7"/>
  <c r="H178" i="7"/>
  <c r="J24" i="8"/>
  <c r="J23" i="8"/>
  <c r="J17" i="8"/>
  <c r="L12" i="9"/>
  <c r="F71" i="7" l="1"/>
  <c r="J71" i="7" s="1"/>
  <c r="J35" i="7" l="1"/>
  <c r="J33" i="7"/>
  <c r="J34" i="7"/>
  <c r="F73" i="7" l="1"/>
  <c r="F178" i="7" l="1"/>
  <c r="N33" i="8" l="1"/>
  <c r="L33" i="8"/>
  <c r="H33" i="8"/>
  <c r="F33" i="8"/>
  <c r="F146" i="7" l="1"/>
  <c r="F12" i="5" l="1"/>
  <c r="F266" i="7" s="1"/>
  <c r="J251" i="7" l="1"/>
  <c r="G267" i="7" l="1"/>
  <c r="E267" i="7"/>
  <c r="I266" i="7"/>
  <c r="F148" i="7" l="1"/>
  <c r="N76" i="7" l="1"/>
  <c r="N75" i="7"/>
  <c r="L75" i="7"/>
  <c r="L78" i="7" s="1"/>
  <c r="F75" i="7"/>
  <c r="F78" i="7" s="1"/>
  <c r="H75" i="7"/>
  <c r="H78" i="7" s="1"/>
  <c r="N78" i="7" l="1"/>
  <c r="J73" i="7"/>
  <c r="J178" i="7" s="1"/>
  <c r="J74" i="7"/>
  <c r="L55" i="7" l="1"/>
  <c r="L119" i="7" l="1"/>
  <c r="H119" i="7"/>
  <c r="L106" i="7"/>
  <c r="H106" i="7"/>
  <c r="L18" i="8"/>
  <c r="I32" i="6"/>
  <c r="I20" i="6"/>
  <c r="I12" i="6"/>
  <c r="L15" i="5"/>
  <c r="L16" i="5" s="1"/>
  <c r="L20" i="5" s="1"/>
  <c r="H15" i="5"/>
  <c r="J253" i="7" l="1"/>
  <c r="J247" i="7"/>
  <c r="J244" i="7"/>
  <c r="J243" i="7"/>
  <c r="J230" i="7" l="1"/>
  <c r="J177" i="7"/>
  <c r="J145" i="7"/>
  <c r="J144" i="7"/>
  <c r="J143" i="7"/>
  <c r="J142" i="7"/>
  <c r="J141" i="7"/>
  <c r="J118" i="7"/>
  <c r="J117" i="7"/>
  <c r="J116" i="7"/>
  <c r="J105" i="7"/>
  <c r="J104" i="7"/>
  <c r="J103" i="7"/>
  <c r="J77" i="7"/>
  <c r="J76" i="7"/>
  <c r="J12" i="5"/>
  <c r="J266" i="7" s="1"/>
  <c r="J60" i="7"/>
  <c r="J59" i="7"/>
  <c r="J57" i="7"/>
  <c r="J56" i="7"/>
  <c r="J55" i="7"/>
  <c r="J32" i="7"/>
  <c r="J31" i="7"/>
  <c r="J106" i="7" l="1"/>
  <c r="J9" i="5"/>
  <c r="J58" i="7"/>
  <c r="J36" i="7"/>
  <c r="J146" i="7"/>
  <c r="J75" i="7"/>
  <c r="J78" i="7" s="1"/>
  <c r="J148" i="7"/>
  <c r="J32" i="8"/>
  <c r="J27" i="8"/>
  <c r="J26" i="8"/>
  <c r="J22" i="8"/>
  <c r="J21" i="8"/>
  <c r="J20" i="8"/>
  <c r="J19" i="8"/>
  <c r="J16" i="8"/>
  <c r="J15" i="8"/>
  <c r="J14" i="8"/>
  <c r="J13" i="8"/>
  <c r="J12" i="8"/>
  <c r="J11" i="8"/>
  <c r="J8" i="8"/>
  <c r="J17" i="5"/>
  <c r="N105" i="7" l="1"/>
  <c r="H58" i="7" l="1"/>
  <c r="H61" i="7" s="1"/>
  <c r="N10" i="9" l="1"/>
  <c r="F9" i="5" l="1"/>
  <c r="G28" i="6" l="1"/>
  <c r="H219" i="7" l="1"/>
  <c r="H218" i="7"/>
  <c r="H215" i="7"/>
  <c r="H221" i="7" l="1"/>
  <c r="J31" i="8"/>
  <c r="J30" i="8"/>
  <c r="J28" i="8"/>
  <c r="L25" i="8"/>
  <c r="J33" i="8" l="1"/>
  <c r="L34" i="8"/>
  <c r="L36" i="8" s="1"/>
  <c r="J25" i="8"/>
  <c r="L27" i="5"/>
  <c r="L22" i="5"/>
  <c r="L28" i="5" l="1"/>
  <c r="H255" i="7"/>
  <c r="L255" i="7"/>
  <c r="L245" i="7"/>
  <c r="J174" i="7"/>
  <c r="L146" i="7"/>
  <c r="L148" i="7" s="1"/>
  <c r="L131" i="7"/>
  <c r="L58" i="7"/>
  <c r="L61" i="7" s="1"/>
  <c r="J176" i="7"/>
  <c r="J14" i="5"/>
  <c r="J264" i="7" s="1"/>
  <c r="J18" i="5" l="1"/>
  <c r="J254" i="7"/>
  <c r="J248" i="7"/>
  <c r="J13" i="5"/>
  <c r="J265" i="7" s="1"/>
  <c r="J10" i="5"/>
  <c r="J11" i="5"/>
  <c r="J173" i="7"/>
  <c r="L36" i="7"/>
  <c r="J172" i="7"/>
  <c r="J175" i="7" s="1"/>
  <c r="J15" i="5" l="1"/>
  <c r="J245" i="7"/>
  <c r="J25" i="5" s="1"/>
  <c r="J131" i="7"/>
  <c r="J255" i="7"/>
  <c r="J26" i="5" s="1"/>
  <c r="J119" i="7"/>
  <c r="J19" i="5" s="1"/>
  <c r="J61" i="7"/>
  <c r="F10" i="5" l="1"/>
  <c r="F11" i="5" l="1"/>
  <c r="F255" i="7" l="1"/>
  <c r="F20" i="7" l="1"/>
  <c r="J20" i="7" s="1"/>
  <c r="F9" i="8" l="1"/>
  <c r="J9" i="8" s="1"/>
  <c r="F162" i="7" l="1"/>
  <c r="I37" i="6" l="1"/>
  <c r="I40" i="6" s="1"/>
  <c r="I28" i="6"/>
  <c r="I41" i="6" l="1"/>
  <c r="I21" i="6"/>
  <c r="K37" i="6"/>
  <c r="K40" i="6" s="1"/>
  <c r="K41" i="6" s="1"/>
  <c r="K32" i="6"/>
  <c r="K28" i="6"/>
  <c r="K16" i="6"/>
  <c r="K20" i="6" s="1"/>
  <c r="K12" i="6"/>
  <c r="K21" i="6" s="1"/>
  <c r="K11" i="6"/>
  <c r="H209" i="7" l="1"/>
  <c r="H195" i="7"/>
  <c r="H198" i="7" s="1"/>
  <c r="H162" i="7"/>
  <c r="H164" i="7" s="1"/>
  <c r="N255" i="7" l="1"/>
  <c r="J162" i="7"/>
  <c r="N119" i="7"/>
  <c r="N36" i="7"/>
  <c r="N18" i="8" l="1"/>
  <c r="G20" i="6"/>
  <c r="G12" i="6"/>
  <c r="H16" i="5"/>
  <c r="H20" i="5" s="1"/>
  <c r="G21" i="6" l="1"/>
  <c r="J221" i="7" l="1"/>
  <c r="N58" i="7" l="1"/>
  <c r="N61" i="7" s="1"/>
  <c r="F13" i="5" l="1"/>
  <c r="F265" i="7" s="1"/>
  <c r="I265" i="7" s="1"/>
  <c r="F58" i="7"/>
  <c r="F61" i="7" s="1"/>
  <c r="N25" i="8" l="1"/>
  <c r="N27" i="5"/>
  <c r="N15" i="5"/>
  <c r="N16" i="5" l="1"/>
  <c r="N20" i="5" s="1"/>
  <c r="N22" i="5" s="1"/>
  <c r="N28" i="5" s="1"/>
  <c r="N34" i="8"/>
  <c r="N36" i="8" s="1"/>
  <c r="J35" i="8" s="1"/>
  <c r="N11" i="7" l="1"/>
  <c r="F175" i="7" l="1"/>
  <c r="N176" i="7" l="1"/>
  <c r="H176" i="7"/>
  <c r="H25" i="8" l="1"/>
  <c r="F17" i="7" l="1"/>
  <c r="J17" i="7" s="1"/>
  <c r="F15" i="7"/>
  <c r="J15" i="7" s="1"/>
  <c r="H174" i="7" l="1"/>
  <c r="X14" i="5" l="1"/>
  <c r="F14" i="5"/>
  <c r="F264" i="7" s="1"/>
  <c r="I264" i="7" s="1"/>
  <c r="F15" i="5" l="1"/>
  <c r="F174" i="7" l="1"/>
  <c r="F25" i="8"/>
  <c r="F26" i="5"/>
  <c r="J27" i="5" s="1"/>
  <c r="L21" i="9" s="1"/>
  <c r="H245" i="7"/>
  <c r="F245" i="7"/>
  <c r="F176" i="7"/>
  <c r="H173" i="7"/>
  <c r="F173" i="7"/>
  <c r="H172" i="7"/>
  <c r="H175" i="7" s="1"/>
  <c r="F172" i="7"/>
  <c r="H170" i="7"/>
  <c r="H146" i="7"/>
  <c r="H148" i="7" s="1"/>
  <c r="F18" i="7"/>
  <c r="J18" i="7" s="1"/>
  <c r="H131" i="7"/>
  <c r="F131" i="7"/>
  <c r="F21" i="5" s="1"/>
  <c r="J21" i="5" s="1"/>
  <c r="F119" i="7"/>
  <c r="F19" i="5" s="1"/>
  <c r="F106" i="7"/>
  <c r="F18" i="5" s="1"/>
  <c r="F10" i="8" s="1"/>
  <c r="J10" i="8" s="1"/>
  <c r="H69" i="7"/>
  <c r="H36" i="7"/>
  <c r="F36" i="7"/>
  <c r="F9" i="7" s="1"/>
  <c r="J9" i="7" s="1"/>
  <c r="F7" i="5" l="1"/>
  <c r="F10" i="7" s="1"/>
  <c r="J7" i="5"/>
  <c r="H22" i="5"/>
  <c r="H7" i="8" s="1"/>
  <c r="H18" i="8" s="1"/>
  <c r="H34" i="8" s="1"/>
  <c r="H36" i="8" s="1"/>
  <c r="H27" i="5"/>
  <c r="F25" i="5"/>
  <c r="F27" i="5" s="1"/>
  <c r="F16" i="5" l="1"/>
  <c r="J16" i="5"/>
  <c r="J20" i="5" s="1"/>
  <c r="J10" i="7"/>
  <c r="H28" i="5"/>
  <c r="F20" i="5" l="1"/>
  <c r="F13" i="7" s="1"/>
  <c r="J13" i="7" s="1"/>
  <c r="F263" i="7"/>
  <c r="J263" i="7"/>
  <c r="J267" i="7" s="1"/>
  <c r="J22" i="5"/>
  <c r="J21" i="9" s="1"/>
  <c r="F12" i="7"/>
  <c r="J12" i="7" s="1"/>
  <c r="F11" i="7"/>
  <c r="J11" i="7"/>
  <c r="F22" i="5" l="1"/>
  <c r="F28" i="5" s="1"/>
  <c r="F267" i="7"/>
  <c r="I263" i="7"/>
  <c r="J7" i="8"/>
  <c r="J18" i="8" s="1"/>
  <c r="J28" i="5"/>
  <c r="F7" i="8" l="1"/>
  <c r="F18" i="8" s="1"/>
  <c r="F14" i="7"/>
  <c r="J14" i="7" s="1"/>
  <c r="J34" i="8"/>
  <c r="J36" i="8" s="1"/>
  <c r="G32" i="6"/>
  <c r="F16" i="7" l="1"/>
  <c r="J16" i="7" s="1"/>
  <c r="N106" i="7"/>
  <c r="O222" i="7" l="1"/>
  <c r="F209" i="7" l="1"/>
  <c r="J209" i="7"/>
  <c r="N69" i="7" l="1"/>
  <c r="N245" i="7"/>
  <c r="N146" i="7" l="1"/>
  <c r="N148" i="7" s="1"/>
  <c r="F195" i="7" l="1"/>
  <c r="F198" i="7" s="1"/>
  <c r="J195" i="7"/>
  <c r="J198" i="7" s="1"/>
  <c r="N20" i="9" l="1"/>
  <c r="N131" i="7" l="1"/>
  <c r="J164" i="7" l="1"/>
  <c r="D23" i="9" l="1"/>
  <c r="G34" i="6" s="1"/>
  <c r="F23" i="9"/>
  <c r="G35" i="6" s="1"/>
  <c r="H23" i="9"/>
  <c r="G36" i="6" s="1"/>
  <c r="G37" i="6" l="1"/>
  <c r="L23" i="9"/>
  <c r="G39" i="6" s="1"/>
  <c r="F164" i="7" l="1"/>
  <c r="N173" i="7" l="1"/>
  <c r="N174" i="7"/>
  <c r="N172" i="7" l="1"/>
  <c r="J12" i="9" l="1"/>
  <c r="E23" i="9" l="1"/>
  <c r="G23" i="9"/>
  <c r="I23" i="9"/>
  <c r="K23" i="9"/>
  <c r="N22" i="9" l="1"/>
  <c r="N8" i="9"/>
  <c r="N9" i="9"/>
  <c r="N11" i="9"/>
  <c r="H12" i="9"/>
  <c r="F12" i="9"/>
  <c r="D12" i="9"/>
  <c r="N12" i="9" l="1"/>
  <c r="N170" i="7" l="1"/>
  <c r="J23" i="9" l="1"/>
  <c r="G38" i="6" l="1"/>
  <c r="G40" i="6" s="1"/>
  <c r="N23" i="9"/>
  <c r="N21" i="9"/>
  <c r="G41" i="6" l="1"/>
  <c r="F36" i="8"/>
  <c r="F221" i="7"/>
  <c r="F21" i="7" s="1"/>
  <c r="J21" i="7" s="1"/>
  <c r="F19" i="7" l="1"/>
  <c r="J19" i="7" s="1"/>
</calcChain>
</file>

<file path=xl/sharedStrings.xml><?xml version="1.0" encoding="utf-8"?>
<sst xmlns="http://schemas.openxmlformats.org/spreadsheetml/2006/main" count="503" uniqueCount="262">
  <si>
    <t xml:space="preserve"> </t>
  </si>
  <si>
    <t>December 31,</t>
  </si>
  <si>
    <t>Cash and cash equivalents</t>
  </si>
  <si>
    <t>Income taxes payable</t>
  </si>
  <si>
    <t>Other long-term liabilities</t>
  </si>
  <si>
    <t xml:space="preserve">Depreciation and amortization 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</si>
  <si>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</si>
  <si>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</si>
  <si>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</si>
  <si>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</si>
  <si>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</si>
  <si>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</si>
  <si>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</si>
  <si>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</si>
  <si>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</si>
  <si>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</si>
  <si>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</si>
  <si>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</si>
  <si>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</si>
  <si>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</si>
  <si>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</si>
  <si>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</si>
  <si>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</si>
  <si>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</si>
  <si>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</si>
  <si>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</si>
  <si>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Goodwill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</si>
  <si>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</si>
  <si>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</si>
  <si>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</si>
  <si>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</si>
  <si>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</si>
  <si>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</si>
  <si>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</si>
  <si>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</si>
  <si>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</si>
  <si>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  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</si>
  <si>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</si>
  <si>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</si>
  <si>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</si>
  <si>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</si>
  <si>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</si>
  <si>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</si>
  <si>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</si>
  <si>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</si>
  <si>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  Total</t>
  </si>
  <si>
    <t>Interest bearing receivables</t>
  </si>
  <si>
    <t>Restricted cash (current and long-term)</t>
  </si>
  <si>
    <t>Total comprehensive income</t>
  </si>
  <si>
    <t>equity</t>
  </si>
  <si>
    <t>capital</t>
  </si>
  <si>
    <t>par value</t>
  </si>
  <si>
    <t>Shareholders'</t>
  </si>
  <si>
    <t>earnings</t>
  </si>
  <si>
    <t>paid-in</t>
  </si>
  <si>
    <t>shares</t>
  </si>
  <si>
    <t>stock</t>
  </si>
  <si>
    <t>Accumulated</t>
  </si>
  <si>
    <t>Additional</t>
  </si>
  <si>
    <t>Treasury</t>
  </si>
  <si>
    <t>Common</t>
  </si>
  <si>
    <t>MultiClient late sales</t>
  </si>
  <si>
    <t xml:space="preserve">     MultiClient library, net</t>
  </si>
  <si>
    <t>Surveys in progress</t>
  </si>
  <si>
    <t xml:space="preserve">     Completed surveys</t>
  </si>
  <si>
    <t>Completed during 2011</t>
  </si>
  <si>
    <t>Completed during 2010</t>
  </si>
  <si>
    <t>The net book-value of the MultiClient library by year of completion is as follows: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</si>
  <si>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</si>
  <si>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</si>
  <si>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</si>
  <si>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</si>
  <si>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</si>
  <si>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</si>
  <si>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</si>
  <si>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</si>
  <si>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 xml:space="preserve">     - Other</t>
  </si>
  <si>
    <t xml:space="preserve">     - MultiClient late sales</t>
  </si>
  <si>
    <t xml:space="preserve">     - MultiClient pre-funding</t>
  </si>
  <si>
    <t xml:space="preserve">     - Contract seismic</t>
  </si>
  <si>
    <t>Marine revenues by service type:</t>
  </si>
  <si>
    <t>Cash and cash equivalents at end of period</t>
  </si>
  <si>
    <t>Cash and cash equivalents at beginning of period</t>
  </si>
  <si>
    <t>Interest paid</t>
  </si>
  <si>
    <t>Purchase of treasury shares</t>
  </si>
  <si>
    <t>Investment in other intangible assets</t>
  </si>
  <si>
    <t>Investment in MultiClient library</t>
  </si>
  <si>
    <t>Increase (decrease) in accounts payable</t>
  </si>
  <si>
    <t>Other items</t>
  </si>
  <si>
    <t xml:space="preserve"> Income taxes paid</t>
  </si>
  <si>
    <t>Attributable to equity holders of PGS ASA</t>
  </si>
  <si>
    <t>Completed during 2012</t>
  </si>
  <si>
    <t xml:space="preserve">Dividend paid  </t>
  </si>
  <si>
    <t>Key figures MultiClient library:</t>
  </si>
  <si>
    <t>Summary of net interest bearing debt: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</si>
  <si>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</si>
  <si>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</si>
  <si>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</si>
  <si>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</si>
  <si>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</si>
  <si>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</si>
  <si>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</si>
  <si>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</si>
  <si>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Change in other long-term items related to operating activities</t>
  </si>
  <si>
    <t>Investment in other current -and long-term assets</t>
  </si>
  <si>
    <t>Completed during 2013</t>
  </si>
  <si>
    <t>(In millions of US dollars)</t>
  </si>
  <si>
    <t>(In millions US of dollars)</t>
  </si>
  <si>
    <t>- Diluted</t>
  </si>
  <si>
    <t xml:space="preserve"> Weighted average diluted shares outstanding</t>
  </si>
  <si>
    <t>Proceeds, net of deferred loan costs, from issuance of long-term debt</t>
  </si>
  <si>
    <t>MultiClient pre-funding revenue</t>
  </si>
  <si>
    <t>Interest expense consists of the following:</t>
  </si>
  <si>
    <t>Other financial expense, net</t>
  </si>
  <si>
    <t>Other financial expense, net consists of the following:</t>
  </si>
  <si>
    <t xml:space="preserve">                                                   </t>
  </si>
  <si>
    <t>Depreciation capitalized and deferred, net</t>
  </si>
  <si>
    <t>Adjustment for deferred loan costs (offset in long-term debt)</t>
  </si>
  <si>
    <t>Employee benefit plans</t>
  </si>
  <si>
    <t xml:space="preserve">         Total long-term assets</t>
  </si>
  <si>
    <t>Other comprehensive income</t>
  </si>
  <si>
    <t xml:space="preserve">Other </t>
  </si>
  <si>
    <t>comprehensive</t>
  </si>
  <si>
    <t>income</t>
  </si>
  <si>
    <t xml:space="preserve">     - Imaging</t>
  </si>
  <si>
    <t>Condensed Consolidated Statements of Changes in Shareholders' Equity</t>
  </si>
  <si>
    <t xml:space="preserve">Capitalized depreciation (non-cash) </t>
  </si>
  <si>
    <t>Increase in long-term restricted cash</t>
  </si>
  <si>
    <t>Net cash used in investing activities</t>
  </si>
  <si>
    <t xml:space="preserve"> Proceeds from sale and disposal of assets</t>
  </si>
  <si>
    <t>Accrued expenses and other current liabilities</t>
  </si>
  <si>
    <t>Change in other current items related to operating activities</t>
  </si>
  <si>
    <t>Revenues by service type:</t>
  </si>
  <si>
    <t>Net drawdown of Revolving Credit Facility</t>
  </si>
  <si>
    <t>Items that will not be reclassified to profit and loss</t>
  </si>
  <si>
    <t>Other comprehensive income for the period, net of tax</t>
  </si>
  <si>
    <t>Current tax expense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</si>
  <si>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</si>
  <si>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</si>
  <si>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</si>
  <si>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</si>
  <si>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</si>
  <si>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</si>
  <si>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</si>
  <si>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</si>
  <si>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</si>
  <si>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</si>
  <si>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</si>
  <si>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</si>
  <si>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</si>
  <si>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current portion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</si>
  <si>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</si>
  <si>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</si>
  <si>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</si>
  <si>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</si>
  <si>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 xml:space="preserve">Export credit financing </t>
  </si>
  <si>
    <t>Bank facility (NOK 50 mill)</t>
  </si>
  <si>
    <t>Performance bond</t>
  </si>
  <si>
    <t>Gains (losses) arising during the period</t>
  </si>
  <si>
    <t>Prefunding as a percentage of MultiClient cash investment</t>
  </si>
  <si>
    <t>Contract</t>
  </si>
  <si>
    <t>MultiClient</t>
  </si>
  <si>
    <t>Steaming</t>
  </si>
  <si>
    <t>Yard</t>
  </si>
  <si>
    <t>Balance as of January 1, 2015</t>
  </si>
  <si>
    <t>Actuarial gains (losses) on defined benefit pensions plans</t>
  </si>
  <si>
    <t>Income tax effect on actuarial gains and losses</t>
  </si>
  <si>
    <t>Cash flow hedges</t>
  </si>
  <si>
    <t>Deferred tax on cash flow hedges</t>
  </si>
  <si>
    <t>Other comprehensive income (loss) of associated companies</t>
  </si>
  <si>
    <t>Translation adjustments and other</t>
  </si>
  <si>
    <t>Reclassification adjustments for losses (gains) included in profit and loss</t>
  </si>
  <si>
    <t>Items that may be subsequently reclassified to profit and loss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</si>
  <si>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</si>
  <si>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</si>
  <si>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</si>
  <si>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</si>
  <si>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Completed during 2015</t>
  </si>
  <si>
    <t xml:space="preserve">Revolving credit facility, due 2018 </t>
  </si>
  <si>
    <t>Revolving credit facility, due 2018</t>
  </si>
  <si>
    <t>Net income (loss) to equity holders of PGS ASA</t>
  </si>
  <si>
    <t>Note 1 - Revenues</t>
  </si>
  <si>
    <t xml:space="preserve">Long-term debt </t>
  </si>
  <si>
    <t>(In millions of US dollars, except per share data)</t>
  </si>
  <si>
    <t>Revenues</t>
  </si>
  <si>
    <t>EBIT as reported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</si>
  <si>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</si>
  <si>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</si>
  <si>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</si>
  <si>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</si>
  <si>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</si>
  <si>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t>Impairment and loss on sale of long-term assets</t>
  </si>
  <si>
    <t xml:space="preserve">Other charges/(income) </t>
  </si>
  <si>
    <t>Loss (gain) on sale and retirement of assets</t>
  </si>
  <si>
    <t>Depreciation, amortization, impairment and loss on sale of long-term assets</t>
  </si>
  <si>
    <t>Stacked/standby</t>
  </si>
  <si>
    <t xml:space="preserve">Share of results from associated companies </t>
  </si>
  <si>
    <t xml:space="preserve">    Other charges/(income)</t>
  </si>
  <si>
    <t xml:space="preserve">   issued and outstanding 239,579,996 shares </t>
  </si>
  <si>
    <t>Proceeds from sale of treasury shares/share issue</t>
  </si>
  <si>
    <t>Note 3 - Depreciation, amortization, impairments and other charges/(income)</t>
  </si>
  <si>
    <t>Note 2 - Net operating expenses excluding depreciation, amortization, impairments and other charges/(income)</t>
  </si>
  <si>
    <t>Completed during 2014</t>
  </si>
  <si>
    <t>Vessel allocation(1):</t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</si>
  <si>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The statistics exclude cold-stacked vessels.</t>
    </r>
  </si>
  <si>
    <t>December 31</t>
  </si>
  <si>
    <t>Balance as of January 1, 2016</t>
  </si>
  <si>
    <t>Completed during 2016</t>
  </si>
  <si>
    <t>Sellling, general and administrative costs</t>
  </si>
  <si>
    <t>Note 5 - Interest expense</t>
  </si>
  <si>
    <t>Note 6 - Other financial expense, net</t>
  </si>
  <si>
    <t>Note 7 - Income tax expense</t>
  </si>
  <si>
    <t>Note 8 - Property and equipment</t>
  </si>
  <si>
    <t>Note 9 - MultiClient library</t>
  </si>
  <si>
    <t>Note 10 - Liquidity and financing</t>
  </si>
  <si>
    <t>Note 11 - Earnings per share</t>
  </si>
  <si>
    <t>Note 4 - Share of results from associated companies</t>
  </si>
  <si>
    <t xml:space="preserve">Term loan B, Libor (min. 75 bp) + 250 Basis points, due 2021 </t>
  </si>
  <si>
    <t>Income tax expense (benefit)</t>
  </si>
  <si>
    <t xml:space="preserve"> Share of results in associated companies </t>
  </si>
  <si>
    <t>Income tax expense (benefit) consists of the following:</t>
  </si>
  <si>
    <t>Income (loss) before income tax expense</t>
  </si>
  <si>
    <t>Operating profit (loss)/EBIT</t>
  </si>
  <si>
    <t>Net income (loss) to equity holders</t>
  </si>
  <si>
    <t>EBIT ex. impairment and other charges/ (income)</t>
  </si>
  <si>
    <t>Note 12 - Other comprehensive income</t>
  </si>
  <si>
    <t>Changes to Other comprehensive income consists of the following:</t>
  </si>
  <si>
    <t>Shares available for sale</t>
  </si>
  <si>
    <t>Dividend paid (1)</t>
  </si>
  <si>
    <t>(1) NOK 0.70 per share was paid as ordinary dividend for 2014</t>
  </si>
  <si>
    <t xml:space="preserve"> Condensed Consolidated Statements of Profit and Loss and Other Comprehensive Income</t>
  </si>
  <si>
    <t>Deferred tax expense (benefit)</t>
  </si>
  <si>
    <t>September 30,</t>
  </si>
  <si>
    <t>Nine months ended</t>
  </si>
  <si>
    <t>For the nine months ended September 30, 2015</t>
  </si>
  <si>
    <t>For the nine months ended September 30, 2016</t>
  </si>
  <si>
    <t>Balance as of September 30, 2015</t>
  </si>
  <si>
    <t>Balance as of September 30, 2016</t>
  </si>
  <si>
    <t>Notes to the Condensed Interim Consolidated Financial Statements - Third Quarter 2016</t>
  </si>
  <si>
    <t>Depreciation, amortization and impairment consists and other charges(income) consist of the following:</t>
  </si>
  <si>
    <t xml:space="preserve">        Cash costs, gross</t>
  </si>
  <si>
    <t xml:space="preserve">         Total</t>
  </si>
  <si>
    <t xml:space="preserve">          Depreciation and amortization</t>
  </si>
  <si>
    <t xml:space="preserve">          Total</t>
  </si>
  <si>
    <t>Cost of sales before investment in MultiClient library</t>
  </si>
  <si>
    <t>Research and development costs before capitalized development costs</t>
  </si>
  <si>
    <t>Capital expenditures, whether paid or not, consists of the following:</t>
  </si>
  <si>
    <t>Change in working capital</t>
  </si>
  <si>
    <t xml:space="preserve">      Investment in property and equipment</t>
  </si>
  <si>
    <t xml:space="preserve">EBITDA </t>
  </si>
  <si>
    <t>Other charges/(income)</t>
  </si>
  <si>
    <t>Note 13 - EBITDA reconciliation</t>
  </si>
  <si>
    <t>Operating profit (loss)</t>
  </si>
  <si>
    <t xml:space="preserve">       Total capital expenditures, whether paid or not</t>
  </si>
  <si>
    <t>Accelerated amortization of MultiClient library, see note 14</t>
  </si>
  <si>
    <t>Key Financial Figures*</t>
  </si>
  <si>
    <t>Impairment of MultiClient library</t>
  </si>
  <si>
    <t>Impairment and loss on sale of long-term assets consist of the following:</t>
  </si>
  <si>
    <t>MultiClient Library</t>
  </si>
  <si>
    <t>Other Intangible assets</t>
  </si>
  <si>
    <t>Property and equipment (a)</t>
  </si>
  <si>
    <t>(a) The Company recognized a loss on the sale of PGS Apollo of $56.9 million in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</si>
</sst>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[Red]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\ * #,##0_);_(&quot;$&quot;\ * \(#,##0\);_(&quot;$&quot;\ * &quot;-&quot;_);_(@_)"/>
    <numFmt numFmtId="173" formatCode="_(* #,##0_);_(* \(#,##0\);_(* &quot;-&quot;??_);_(@_)"/>
    <numFmt numFmtId="174" formatCode="_(&quot;$&quot;* #,##0_);_(&quot;$&quot;* \(#,##0\);_(&quot;$&quot;* &quot;-&quot;??_);_(@_)"/>
    <numFmt numFmtId="175" formatCode="_ * #,##0_ ;_ * \(#,##0\)_ ;_ * &quot;-&quot;_ ;_ @_ "/>
    <numFmt numFmtId="176" formatCode="_(* #,##0.0_);_(* \(#,##0.0\);_(* &quot;-&quot;??_);_(@_)"/>
    <numFmt numFmtId="177" formatCode="#,##0;[Red]\(#,##0\)"/>
    <numFmt numFmtId="178" formatCode="_(* #,##0,;_(* \(#,##0,\);_(* &quot;-&quot;_);_(@_)"/>
    <numFmt numFmtId="179" formatCode="_(* #,##0.0_);_(* \(#,##0.0\);_(* &quot;-&quot;_);_(@_)"/>
    <numFmt numFmtId="180" formatCode="_ * #,##0.0_ ;_ * \-#,##0.0_ ;_ * &quot;-&quot;?_ ;_ @_ "/>
  </numFmts>
  <fonts count="9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theme="3" tint="0.59999389629810485"/>
      <name val="Times New Roman"/>
      <family val="1"/>
    </font>
    <font>
      <sz val="10"/>
      <color theme="3" tint="0.59999389629810485"/>
      <name val="Arial"/>
      <family val="2"/>
    </font>
    <font>
      <sz val="8"/>
      <color theme="4" tint="-0.249977111117893"/>
      <name val="Arial"/>
      <family val="2"/>
    </font>
    <font>
      <sz val="8"/>
      <color theme="4" tint="-0.249977111117893"/>
      <name val="Times New Roman"/>
      <family val="1"/>
    </font>
    <font>
      <sz val="10"/>
      <color theme="3" tint="0.39997558519241921"/>
      <name val="Arial"/>
      <family val="2"/>
    </font>
    <font>
      <sz val="10"/>
      <color theme="3" tint="0.39997558519241921"/>
      <name val="Times New Roman"/>
      <family val="1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sz val="14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theme="4" tint="-0.249977111117893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12"/>
      <name val="Calibri"/>
      <family val="2"/>
    </font>
    <font>
      <b/>
      <sz val="10"/>
      <color theme="3" tint="0.59999389629810485"/>
      <name val="Arial"/>
      <family val="2"/>
    </font>
    <font>
      <b/>
      <sz val="10"/>
      <color rgb="FF0070C0"/>
      <name val="Arial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3">
    <xf numFmtId="0" fontId="0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Alignment="0" applyProtection="0"/>
    <xf numFmtId="0" fontId="37" fillId="0" borderId="0" applyNumberFormat="0" applyFill="0" applyBorder="0" applyAlignment="0"/>
    <xf numFmtId="0" fontId="38" fillId="0" borderId="0"/>
    <xf numFmtId="0" fontId="39" fillId="0" borderId="0"/>
    <xf numFmtId="0" fontId="38" fillId="0" borderId="0"/>
    <xf numFmtId="0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15" borderId="8" applyNumberFormat="0" applyProtection="0">
      <alignment vertical="center"/>
    </xf>
    <xf numFmtId="0" fontId="28" fillId="15" borderId="9" applyNumberFormat="0" applyProtection="0"/>
    <xf numFmtId="0" fontId="42" fillId="15" borderId="10" applyNumberFormat="0" applyProtection="0">
      <alignment vertical="center"/>
    </xf>
    <xf numFmtId="0" fontId="42" fillId="15" borderId="11" applyNumberFormat="0" applyProtection="0">
      <alignment vertical="center"/>
    </xf>
    <xf numFmtId="0" fontId="42" fillId="15" borderId="0" applyNumberFormat="0" applyProtection="0">
      <alignment vertical="center"/>
    </xf>
    <xf numFmtId="0" fontId="35" fillId="0" borderId="12" applyNumberFormat="0" applyProtection="0"/>
    <xf numFmtId="0" fontId="31" fillId="0" borderId="13" applyNumberFormat="0" applyProtection="0">
      <alignment horizontal="left" textRotation="90" wrapText="1"/>
    </xf>
    <xf numFmtId="0" fontId="43" fillId="15" borderId="0" applyNumberFormat="0" applyProtection="0"/>
    <xf numFmtId="0" fontId="44" fillId="0" borderId="0" applyNumberFormat="0" applyFill="0" applyBorder="0" applyAlignment="0" applyProtection="0"/>
    <xf numFmtId="0" fontId="45" fillId="0" borderId="0"/>
    <xf numFmtId="0" fontId="20" fillId="0" borderId="0"/>
    <xf numFmtId="0" fontId="17" fillId="0" borderId="0"/>
    <xf numFmtId="0" fontId="46" fillId="0" borderId="0"/>
    <xf numFmtId="0" fontId="36" fillId="0" borderId="0"/>
    <xf numFmtId="0" fontId="31" fillId="0" borderId="0"/>
    <xf numFmtId="177" fontId="47" fillId="16" borderId="0"/>
    <xf numFmtId="177" fontId="47" fillId="16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48" fillId="0" borderId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8" fillId="0" borderId="0"/>
    <xf numFmtId="168" fontId="49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3" fontId="19" fillId="0" borderId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0" fillId="0" borderId="0" applyFont="0" applyFill="0" applyBorder="0" applyAlignment="0" applyProtection="0"/>
    <xf numFmtId="171" fontId="5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17" borderId="0">
      <alignment horizontal="right"/>
    </xf>
    <xf numFmtId="38" fontId="55" fillId="0" borderId="0"/>
    <xf numFmtId="38" fontId="56" fillId="0" borderId="0"/>
    <xf numFmtId="38" fontId="57" fillId="0" borderId="0"/>
    <xf numFmtId="38" fontId="58" fillId="0" borderId="0"/>
    <xf numFmtId="0" fontId="19" fillId="0" borderId="0"/>
    <xf numFmtId="0" fontId="19" fillId="0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37" fontId="60" fillId="18" borderId="0"/>
    <xf numFmtId="37" fontId="61" fillId="18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1" fillId="0" borderId="0"/>
    <xf numFmtId="0" fontId="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8" fillId="0" borderId="0"/>
    <xf numFmtId="0" fontId="1" fillId="0" borderId="0"/>
    <xf numFmtId="0" fontId="1" fillId="0" borderId="0"/>
    <xf numFmtId="0" fontId="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2" fillId="0" borderId="1">
      <alignment horizontal="center"/>
    </xf>
    <xf numFmtId="3" fontId="59" fillId="0" borderId="0" applyFont="0" applyFill="0" applyBorder="0" applyAlignment="0" applyProtection="0"/>
    <xf numFmtId="0" fontId="59" fillId="19" borderId="0" applyNumberFormat="0" applyFont="0" applyBorder="0" applyAlignment="0" applyProtection="0"/>
    <xf numFmtId="0" fontId="17" fillId="2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3">
    <xf numFmtId="0" fontId="0" fillId="0" borderId="0" xfId="0"/>
    <xf numFmtId="0" fontId="3" fillId="0" borderId="0" xfId="0" applyFont="1"/>
    <xf numFmtId="173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3" fontId="3" fillId="0" borderId="0" xfId="1" applyNumberFormat="1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3" fillId="0" borderId="0" xfId="0" applyFont="1" applyAlignment="1"/>
    <xf numFmtId="0" fontId="7" fillId="0" borderId="0" xfId="0" applyFont="1" applyAlignment="1"/>
    <xf numFmtId="174" fontId="3" fillId="0" borderId="0" xfId="0" applyNumberFormat="1" applyFont="1"/>
    <xf numFmtId="166" fontId="3" fillId="0" borderId="0" xfId="0" applyNumberFormat="1" applyFont="1"/>
    <xf numFmtId="174" fontId="3" fillId="0" borderId="0" xfId="2" applyNumberFormat="1" applyFont="1" applyBorder="1"/>
    <xf numFmtId="166" fontId="3" fillId="0" borderId="0" xfId="0" applyNumberFormat="1" applyFont="1" applyFill="1"/>
    <xf numFmtId="173" fontId="6" fillId="0" borderId="0" xfId="1" applyNumberFormat="1" applyFont="1" applyBorder="1" applyAlignment="1">
      <alignment horizontal="left"/>
    </xf>
    <xf numFmtId="174" fontId="6" fillId="0" borderId="0" xfId="2" applyNumberFormat="1" applyFont="1" applyFill="1" applyBorder="1"/>
    <xf numFmtId="173" fontId="6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173" fontId="3" fillId="0" borderId="0" xfId="1" applyNumberFormat="1" applyFont="1" applyFill="1"/>
    <xf numFmtId="0" fontId="7" fillId="0" borderId="0" xfId="0" applyFont="1" applyBorder="1"/>
    <xf numFmtId="166" fontId="3" fillId="0" borderId="0" xfId="0" applyNumberFormat="1" applyFont="1" applyFill="1" applyBorder="1"/>
    <xf numFmtId="0" fontId="0" fillId="0" borderId="0" xfId="0" applyFill="1"/>
    <xf numFmtId="174" fontId="6" fillId="0" borderId="0" xfId="2" applyNumberFormat="1" applyFont="1" applyBorder="1"/>
    <xf numFmtId="172" fontId="8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175" fontId="3" fillId="0" borderId="0" xfId="1" applyNumberFormat="1" applyFont="1" applyBorder="1"/>
    <xf numFmtId="174" fontId="4" fillId="0" borderId="0" xfId="2" applyNumberFormat="1" applyFont="1" applyFill="1" applyBorder="1"/>
    <xf numFmtId="0" fontId="0" fillId="0" borderId="0" xfId="0" applyFill="1" applyBorder="1"/>
    <xf numFmtId="0" fontId="0" fillId="0" borderId="0" xfId="0" applyBorder="1"/>
    <xf numFmtId="173" fontId="3" fillId="0" borderId="0" xfId="1" applyNumberFormat="1" applyFont="1" applyFill="1" applyAlignment="1">
      <alignment horizontal="left"/>
    </xf>
    <xf numFmtId="173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11" fillId="0" borderId="0" xfId="0" applyFont="1"/>
    <xf numFmtId="3" fontId="3" fillId="0" borderId="0" xfId="0" applyNumberFormat="1" applyFont="1"/>
    <xf numFmtId="3" fontId="4" fillId="0" borderId="0" xfId="0" applyNumberFormat="1" applyFont="1"/>
    <xf numFmtId="168" fontId="3" fillId="0" borderId="0" xfId="0" applyNumberFormat="1" applyFont="1"/>
    <xf numFmtId="0" fontId="14" fillId="0" borderId="0" xfId="0" applyFont="1"/>
    <xf numFmtId="173" fontId="3" fillId="0" borderId="0" xfId="0" applyNumberFormat="1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0" xfId="3" applyFont="1" applyBorder="1" applyAlignment="1"/>
    <xf numFmtId="0" fontId="2" fillId="0" borderId="0" xfId="3" applyBorder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175" fontId="3" fillId="0" borderId="0" xfId="3" applyNumberFormat="1" applyFont="1" applyFill="1"/>
    <xf numFmtId="0" fontId="3" fillId="0" borderId="0" xfId="3" applyFont="1" applyFill="1"/>
    <xf numFmtId="0" fontId="15" fillId="0" borderId="0" xfId="3" applyFont="1" applyAlignment="1">
      <alignment horizontal="left"/>
    </xf>
    <xf numFmtId="172" fontId="4" fillId="0" borderId="0" xfId="3" applyNumberFormat="1" applyFont="1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166" fontId="3" fillId="0" borderId="0" xfId="3" applyNumberFormat="1" applyFont="1"/>
    <xf numFmtId="172" fontId="3" fillId="0" borderId="0" xfId="3" applyNumberFormat="1" applyFont="1"/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0" xfId="3" applyFont="1"/>
    <xf numFmtId="0" fontId="2" fillId="0" borderId="0" xfId="3" applyFill="1"/>
    <xf numFmtId="173" fontId="3" fillId="0" borderId="0" xfId="3" applyNumberFormat="1" applyFont="1"/>
    <xf numFmtId="172" fontId="3" fillId="0" borderId="0" xfId="3" applyNumberFormat="1" applyFont="1" applyBorder="1"/>
    <xf numFmtId="0" fontId="17" fillId="0" borderId="0" xfId="3" applyFont="1" applyFill="1" applyBorder="1"/>
    <xf numFmtId="0" fontId="3" fillId="0" borderId="2" xfId="3" applyFont="1" applyFill="1" applyBorder="1"/>
    <xf numFmtId="175" fontId="11" fillId="0" borderId="0" xfId="3" applyNumberFormat="1" applyFont="1" applyFill="1"/>
    <xf numFmtId="175" fontId="3" fillId="0" borderId="0" xfId="3" applyNumberFormat="1" applyFont="1" applyAlignment="1">
      <alignment horizontal="center"/>
    </xf>
    <xf numFmtId="175" fontId="3" fillId="0" borderId="0" xfId="3" applyNumberFormat="1" applyFont="1" applyBorder="1" applyAlignment="1">
      <alignment horizontal="center"/>
    </xf>
    <xf numFmtId="166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6" fontId="8" fillId="0" borderId="0" xfId="3" applyNumberFormat="1" applyFont="1"/>
    <xf numFmtId="166" fontId="4" fillId="0" borderId="0" xfId="3" applyNumberFormat="1" applyFont="1" applyFill="1" applyBorder="1"/>
    <xf numFmtId="0" fontId="11" fillId="0" borderId="0" xfId="3" applyFont="1"/>
    <xf numFmtId="0" fontId="8" fillId="0" borderId="0" xfId="3" applyFont="1" applyFill="1"/>
    <xf numFmtId="172" fontId="8" fillId="0" borderId="0" xfId="3" applyNumberFormat="1" applyFont="1" applyFill="1" applyBorder="1"/>
    <xf numFmtId="41" fontId="3" fillId="0" borderId="0" xfId="3" applyNumberFormat="1" applyFont="1"/>
    <xf numFmtId="172" fontId="2" fillId="0" borderId="0" xfId="3" applyNumberFormat="1" applyFill="1"/>
    <xf numFmtId="0" fontId="18" fillId="0" borderId="0" xfId="3" applyFont="1" applyFill="1"/>
    <xf numFmtId="172" fontId="18" fillId="0" borderId="0" xfId="3" applyNumberFormat="1" applyFont="1" applyFill="1" applyAlignment="1"/>
    <xf numFmtId="175" fontId="10" fillId="0" borderId="0" xfId="3" applyNumberFormat="1" applyFont="1" applyFill="1" applyBorder="1"/>
    <xf numFmtId="0" fontId="3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3" fillId="0" borderId="0" xfId="3" applyFont="1" applyAlignment="1">
      <alignment horizontal="centerContinuous"/>
    </xf>
    <xf numFmtId="0" fontId="14" fillId="0" borderId="0" xfId="0" quotePrefix="1" applyFont="1"/>
    <xf numFmtId="0" fontId="7" fillId="0" borderId="0" xfId="0" applyFont="1" applyFill="1" applyBorder="1"/>
    <xf numFmtId="174" fontId="16" fillId="0" borderId="0" xfId="2" applyNumberFormat="1" applyFont="1" applyFill="1" applyBorder="1"/>
    <xf numFmtId="174" fontId="16" fillId="0" borderId="0" xfId="2" applyNumberFormat="1" applyFont="1" applyBorder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Fill="1"/>
    <xf numFmtId="0" fontId="12" fillId="0" borderId="0" xfId="0" applyFont="1" applyFill="1"/>
    <xf numFmtId="172" fontId="16" fillId="0" borderId="0" xfId="3" applyNumberFormat="1" applyFont="1" applyFill="1" applyBorder="1"/>
    <xf numFmtId="0" fontId="5" fillId="0" borderId="0" xfId="3" applyFont="1" applyFill="1" applyBorder="1" applyAlignment="1"/>
    <xf numFmtId="0" fontId="3" fillId="0" borderId="0" xfId="3" applyFont="1" applyFill="1" applyBorder="1" applyAlignment="1">
      <alignment horizontal="center"/>
    </xf>
    <xf numFmtId="176" fontId="3" fillId="0" borderId="0" xfId="1" applyNumberFormat="1" applyFont="1" applyFill="1"/>
    <xf numFmtId="0" fontId="3" fillId="0" borderId="0" xfId="3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Border="1"/>
    <xf numFmtId="176" fontId="16" fillId="0" borderId="0" xfId="1" applyNumberFormat="1" applyFont="1" applyFill="1" applyBorder="1"/>
    <xf numFmtId="176" fontId="4" fillId="0" borderId="0" xfId="1" applyNumberFormat="1" applyFont="1" applyFill="1" applyBorder="1"/>
    <xf numFmtId="176" fontId="3" fillId="0" borderId="0" xfId="1" applyNumberFormat="1" applyFont="1"/>
    <xf numFmtId="176" fontId="11" fillId="0" borderId="0" xfId="1" applyNumberFormat="1" applyFont="1"/>
    <xf numFmtId="176" fontId="6" fillId="0" borderId="0" xfId="1" applyNumberFormat="1" applyFont="1" applyFill="1" applyBorder="1"/>
    <xf numFmtId="176" fontId="11" fillId="0" borderId="0" xfId="1" applyNumberFormat="1" applyFont="1" applyBorder="1"/>
    <xf numFmtId="0" fontId="24" fillId="0" borderId="0" xfId="3" applyFont="1" applyFill="1"/>
    <xf numFmtId="174" fontId="25" fillId="0" borderId="0" xfId="3" applyNumberFormat="1" applyFont="1" applyFill="1" applyBorder="1"/>
    <xf numFmtId="166" fontId="25" fillId="0" borderId="0" xfId="3" quotePrefix="1" applyNumberFormat="1" applyFont="1" applyFill="1" applyBorder="1"/>
    <xf numFmtId="0" fontId="9" fillId="0" borderId="0" xfId="0" applyFont="1" applyAlignment="1"/>
    <xf numFmtId="176" fontId="16" fillId="0" borderId="0" xfId="1" applyNumberFormat="1" applyFont="1" applyBorder="1"/>
    <xf numFmtId="0" fontId="3" fillId="0" borderId="0" xfId="0" applyFont="1" applyBorder="1" applyAlignment="1">
      <alignment horizontal="center"/>
    </xf>
    <xf numFmtId="175" fontId="26" fillId="0" borderId="0" xfId="0" applyNumberFormat="1" applyFont="1" applyBorder="1"/>
    <xf numFmtId="175" fontId="27" fillId="0" borderId="0" xfId="1" applyNumberFormat="1" applyFont="1" applyBorder="1"/>
    <xf numFmtId="16" fontId="3" fillId="0" borderId="0" xfId="3" quotePrefix="1" applyNumberFormat="1" applyFont="1" applyBorder="1" applyAlignment="1"/>
    <xf numFmtId="0" fontId="12" fillId="0" borderId="0" xfId="0" applyFont="1" applyFill="1" applyBorder="1"/>
    <xf numFmtId="168" fontId="3" fillId="0" borderId="0" xfId="1" applyFont="1"/>
    <xf numFmtId="0" fontId="28" fillId="0" borderId="0" xfId="0" applyFont="1" applyAlignment="1"/>
    <xf numFmtId="0" fontId="29" fillId="0" borderId="0" xfId="0" applyFont="1" applyBorder="1"/>
    <xf numFmtId="0" fontId="28" fillId="0" borderId="0" xfId="0" applyFont="1" applyBorder="1"/>
    <xf numFmtId="176" fontId="32" fillId="0" borderId="0" xfId="1" applyNumberFormat="1" applyFont="1" applyFill="1" applyBorder="1"/>
    <xf numFmtId="174" fontId="13" fillId="0" borderId="0" xfId="2" applyNumberFormat="1" applyFont="1" applyFill="1" applyBorder="1"/>
    <xf numFmtId="176" fontId="33" fillId="0" borderId="0" xfId="1" applyNumberFormat="1" applyFont="1" applyFill="1" applyBorder="1"/>
    <xf numFmtId="0" fontId="34" fillId="0" borderId="0" xfId="0" applyFont="1" applyFill="1" applyBorder="1"/>
    <xf numFmtId="0" fontId="34" fillId="0" borderId="0" xfId="0" applyFont="1" applyBorder="1"/>
    <xf numFmtId="0" fontId="16" fillId="0" borderId="0" xfId="3" applyFont="1" applyFill="1" applyBorder="1"/>
    <xf numFmtId="0" fontId="21" fillId="0" borderId="0" xfId="3" applyFont="1" applyFill="1" applyBorder="1"/>
    <xf numFmtId="0" fontId="11" fillId="0" borderId="0" xfId="0" applyFont="1" applyAlignment="1"/>
    <xf numFmtId="173" fontId="3" fillId="0" borderId="0" xfId="1" applyNumberFormat="1" applyFont="1"/>
    <xf numFmtId="173" fontId="4" fillId="0" borderId="0" xfId="1" applyNumberFormat="1" applyFont="1" applyFill="1" applyBorder="1"/>
    <xf numFmtId="176" fontId="3" fillId="0" borderId="0" xfId="0" applyNumberFormat="1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166" fontId="22" fillId="0" borderId="0" xfId="3" applyNumberFormat="1" applyFont="1" applyFill="1"/>
    <xf numFmtId="0" fontId="23" fillId="0" borderId="0" xfId="3" applyFont="1" applyFill="1"/>
    <xf numFmtId="178" fontId="2" fillId="0" borderId="0" xfId="392" applyNumberFormat="1" applyFont="1" applyFill="1" applyBorder="1"/>
    <xf numFmtId="16" fontId="3" fillId="0" borderId="0" xfId="3" applyNumberFormat="1" applyFont="1" applyBorder="1" applyAlignment="1"/>
    <xf numFmtId="0" fontId="29" fillId="0" borderId="0" xfId="0" applyFont="1" applyFill="1" applyBorder="1"/>
    <xf numFmtId="0" fontId="9" fillId="0" borderId="0" xfId="3" applyFont="1" applyAlignment="1">
      <alignment horizontal="center"/>
    </xf>
    <xf numFmtId="173" fontId="3" fillId="0" borderId="0" xfId="3" applyNumberFormat="1" applyFont="1" applyFill="1"/>
    <xf numFmtId="0" fontId="65" fillId="0" borderId="0" xfId="3" applyFont="1" applyFill="1" applyBorder="1"/>
    <xf numFmtId="0" fontId="64" fillId="0" borderId="0" xfId="3" applyFont="1" applyFill="1" applyBorder="1"/>
    <xf numFmtId="0" fontId="64" fillId="0" borderId="0" xfId="3" applyFont="1" applyFill="1"/>
    <xf numFmtId="0" fontId="64" fillId="0" borderId="2" xfId="3" applyFont="1" applyFill="1" applyBorder="1"/>
    <xf numFmtId="0" fontId="65" fillId="0" borderId="4" xfId="3" applyFont="1" applyFill="1" applyBorder="1"/>
    <xf numFmtId="0" fontId="67" fillId="0" borderId="2" xfId="3" applyFont="1" applyFill="1" applyBorder="1"/>
    <xf numFmtId="0" fontId="64" fillId="0" borderId="0" xfId="3" applyFont="1" applyFill="1" applyBorder="1" applyAlignment="1">
      <alignment horizontal="center"/>
    </xf>
    <xf numFmtId="0" fontId="64" fillId="0" borderId="0" xfId="3" applyFont="1" applyAlignment="1">
      <alignment horizontal="center"/>
    </xf>
    <xf numFmtId="166" fontId="64" fillId="0" borderId="0" xfId="3" applyNumberFormat="1" applyFont="1" applyAlignment="1">
      <alignment horizontal="center"/>
    </xf>
    <xf numFmtId="0" fontId="64" fillId="0" borderId="0" xfId="3" applyFont="1" applyBorder="1" applyAlignment="1">
      <alignment horizontal="center"/>
    </xf>
    <xf numFmtId="166" fontId="64" fillId="0" borderId="0" xfId="3" applyNumberFormat="1" applyFont="1" applyBorder="1" applyAlignment="1">
      <alignment horizontal="center"/>
    </xf>
    <xf numFmtId="175" fontId="64" fillId="0" borderId="2" xfId="3" applyNumberFormat="1" applyFont="1" applyBorder="1" applyAlignment="1">
      <alignment horizontal="center"/>
    </xf>
    <xf numFmtId="175" fontId="64" fillId="0" borderId="0" xfId="3" applyNumberFormat="1" applyFont="1" applyAlignment="1">
      <alignment horizontal="center"/>
    </xf>
    <xf numFmtId="175" fontId="64" fillId="0" borderId="0" xfId="3" applyNumberFormat="1" applyFont="1" applyBorder="1" applyAlignment="1">
      <alignment horizontal="center"/>
    </xf>
    <xf numFmtId="0" fontId="64" fillId="0" borderId="2" xfId="3" applyFont="1" applyBorder="1" applyAlignment="1">
      <alignment horizontal="center"/>
    </xf>
    <xf numFmtId="176" fontId="65" fillId="0" borderId="0" xfId="1" applyNumberFormat="1" applyFont="1" applyFill="1"/>
    <xf numFmtId="176" fontId="65" fillId="0" borderId="0" xfId="1" applyNumberFormat="1" applyFont="1" applyFill="1" applyBorder="1"/>
    <xf numFmtId="176" fontId="64" fillId="0" borderId="0" xfId="1" applyNumberFormat="1" applyFont="1" applyFill="1"/>
    <xf numFmtId="176" fontId="64" fillId="0" borderId="0" xfId="1" applyNumberFormat="1" applyFont="1" applyFill="1" applyBorder="1"/>
    <xf numFmtId="176" fontId="65" fillId="0" borderId="4" xfId="1" applyNumberFormat="1" applyFont="1" applyFill="1" applyBorder="1"/>
    <xf numFmtId="0" fontId="64" fillId="0" borderId="1" xfId="3" applyFont="1" applyBorder="1" applyAlignment="1">
      <alignment horizontal="center"/>
    </xf>
    <xf numFmtId="0" fontId="64" fillId="0" borderId="5" xfId="3" applyFont="1" applyBorder="1" applyAlignment="1">
      <alignment horizontal="center"/>
    </xf>
    <xf numFmtId="0" fontId="65" fillId="0" borderId="0" xfId="3" applyFont="1" applyBorder="1" applyAlignment="1">
      <alignment horizontal="center"/>
    </xf>
    <xf numFmtId="16" fontId="64" fillId="0" borderId="0" xfId="3" applyNumberFormat="1" applyFont="1" applyBorder="1" applyAlignment="1">
      <alignment horizontal="center"/>
    </xf>
    <xf numFmtId="0" fontId="67" fillId="0" borderId="1" xfId="3" applyFont="1" applyBorder="1" applyAlignment="1">
      <alignment horizontal="left"/>
    </xf>
    <xf numFmtId="0" fontId="65" fillId="0" borderId="1" xfId="3" applyFont="1" applyBorder="1" applyAlignment="1">
      <alignment horizontal="center"/>
    </xf>
    <xf numFmtId="0" fontId="64" fillId="0" borderId="1" xfId="3" applyFont="1" applyFill="1" applyBorder="1" applyAlignment="1">
      <alignment horizontal="center"/>
    </xf>
    <xf numFmtId="0" fontId="64" fillId="0" borderId="0" xfId="3" applyFont="1"/>
    <xf numFmtId="0" fontId="67" fillId="0" borderId="0" xfId="3" applyFont="1" applyFill="1" applyBorder="1" applyAlignment="1"/>
    <xf numFmtId="0" fontId="65" fillId="0" borderId="0" xfId="3" applyFont="1"/>
    <xf numFmtId="173" fontId="65" fillId="0" borderId="0" xfId="1" applyNumberFormat="1" applyFont="1" applyFill="1" applyAlignment="1"/>
    <xf numFmtId="173" fontId="64" fillId="0" borderId="0" xfId="1" applyNumberFormat="1" applyFont="1" applyFill="1" applyAlignment="1"/>
    <xf numFmtId="173" fontId="64" fillId="0" borderId="0" xfId="1" applyNumberFormat="1" applyFont="1" applyAlignment="1">
      <alignment horizontal="left"/>
    </xf>
    <xf numFmtId="176" fontId="64" fillId="0" borderId="0" xfId="1" applyNumberFormat="1" applyFont="1" applyBorder="1"/>
    <xf numFmtId="0" fontId="64" fillId="0" borderId="0" xfId="3" applyFont="1" applyFill="1" applyAlignment="1"/>
    <xf numFmtId="176" fontId="64" fillId="0" borderId="0" xfId="1" applyNumberFormat="1" applyFont="1"/>
    <xf numFmtId="0" fontId="64" fillId="0" borderId="0" xfId="3" applyFont="1" applyFill="1" applyAlignment="1">
      <alignment horizontal="left"/>
    </xf>
    <xf numFmtId="173" fontId="64" fillId="0" borderId="0" xfId="1" quotePrefix="1" applyNumberFormat="1" applyFont="1" applyBorder="1" applyAlignment="1">
      <alignment horizontal="left"/>
    </xf>
    <xf numFmtId="173" fontId="64" fillId="0" borderId="0" xfId="1" quotePrefix="1" applyNumberFormat="1" applyFont="1" applyFill="1" applyBorder="1" applyAlignment="1">
      <alignment horizontal="left"/>
    </xf>
    <xf numFmtId="0" fontId="65" fillId="0" borderId="4" xfId="3" applyFont="1" applyBorder="1"/>
    <xf numFmtId="173" fontId="65" fillId="0" borderId="4" xfId="1" applyNumberFormat="1" applyFont="1" applyBorder="1" applyAlignment="1">
      <alignment horizontal="left"/>
    </xf>
    <xf numFmtId="173" fontId="64" fillId="0" borderId="4" xfId="1" applyNumberFormat="1" applyFont="1" applyBorder="1" applyAlignment="1">
      <alignment horizontal="left"/>
    </xf>
    <xf numFmtId="173" fontId="65" fillId="0" borderId="0" xfId="1" applyNumberFormat="1" applyFont="1" applyBorder="1" applyAlignment="1">
      <alignment horizontal="left"/>
    </xf>
    <xf numFmtId="176" fontId="64" fillId="0" borderId="4" xfId="1" applyNumberFormat="1" applyFont="1" applyFill="1" applyBorder="1"/>
    <xf numFmtId="173" fontId="64" fillId="0" borderId="0" xfId="1" applyNumberFormat="1" applyFont="1" applyBorder="1" applyAlignment="1">
      <alignment horizontal="left"/>
    </xf>
    <xf numFmtId="173" fontId="65" fillId="0" borderId="0" xfId="1" applyNumberFormat="1" applyFont="1" applyAlignment="1">
      <alignment horizontal="left"/>
    </xf>
    <xf numFmtId="173" fontId="64" fillId="0" borderId="0" xfId="1" applyNumberFormat="1" applyFont="1" applyFill="1" applyAlignment="1">
      <alignment horizontal="left"/>
    </xf>
    <xf numFmtId="173" fontId="64" fillId="0" borderId="0" xfId="1" applyNumberFormat="1" applyFont="1" applyFill="1" applyBorder="1" applyAlignment="1">
      <alignment horizontal="left"/>
    </xf>
    <xf numFmtId="173" fontId="65" fillId="0" borderId="3" xfId="1" applyNumberFormat="1" applyFont="1" applyBorder="1" applyAlignment="1">
      <alignment horizontal="left"/>
    </xf>
    <xf numFmtId="176" fontId="65" fillId="0" borderId="3" xfId="1" applyNumberFormat="1" applyFont="1" applyFill="1" applyBorder="1"/>
    <xf numFmtId="176" fontId="71" fillId="0" borderId="0" xfId="1" applyNumberFormat="1" applyFont="1" applyBorder="1"/>
    <xf numFmtId="0" fontId="69" fillId="0" borderId="1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/>
    <xf numFmtId="0" fontId="64" fillId="0" borderId="0" xfId="0" applyFont="1" applyFill="1" applyBorder="1"/>
    <xf numFmtId="0" fontId="64" fillId="0" borderId="0" xfId="0" applyFont="1"/>
    <xf numFmtId="0" fontId="64" fillId="0" borderId="2" xfId="0" applyFont="1" applyFill="1" applyBorder="1"/>
    <xf numFmtId="176" fontId="64" fillId="0" borderId="2" xfId="1" applyNumberFormat="1" applyFont="1" applyFill="1" applyBorder="1"/>
    <xf numFmtId="0" fontId="64" fillId="0" borderId="1" xfId="0" applyFont="1" applyFill="1" applyBorder="1"/>
    <xf numFmtId="176" fontId="73" fillId="0" borderId="0" xfId="1" applyNumberFormat="1" applyFont="1" applyFill="1"/>
    <xf numFmtId="0" fontId="74" fillId="0" borderId="0" xfId="0" applyFont="1" applyFill="1" applyBorder="1"/>
    <xf numFmtId="0" fontId="69" fillId="0" borderId="1" xfId="0" applyFont="1" applyBorder="1"/>
    <xf numFmtId="0" fontId="69" fillId="0" borderId="1" xfId="0" applyFont="1" applyFill="1" applyBorder="1"/>
    <xf numFmtId="0" fontId="67" fillId="0" borderId="1" xfId="0" applyFont="1" applyBorder="1" applyAlignment="1"/>
    <xf numFmtId="0" fontId="73" fillId="0" borderId="0" xfId="0" applyFont="1" applyBorder="1" applyAlignment="1">
      <alignment horizontal="center"/>
    </xf>
    <xf numFmtId="173" fontId="65" fillId="0" borderId="0" xfId="1" applyNumberFormat="1" applyFont="1" applyBorder="1" applyAlignment="1">
      <alignment horizontal="center"/>
    </xf>
    <xf numFmtId="176" fontId="65" fillId="0" borderId="0" xfId="1" applyNumberFormat="1" applyFont="1" applyBorder="1"/>
    <xf numFmtId="0" fontId="65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Border="1"/>
    <xf numFmtId="0" fontId="30" fillId="0" borderId="0" xfId="0" applyFont="1" applyBorder="1"/>
    <xf numFmtId="0" fontId="17" fillId="0" borderId="0" xfId="0" applyFont="1"/>
    <xf numFmtId="0" fontId="21" fillId="0" borderId="0" xfId="0" applyFont="1" applyFill="1"/>
    <xf numFmtId="0" fontId="64" fillId="0" borderId="0" xfId="3" applyFont="1" applyBorder="1"/>
    <xf numFmtId="0" fontId="68" fillId="0" borderId="0" xfId="0" applyFont="1" applyAlignment="1">
      <alignment horizontal="left"/>
    </xf>
    <xf numFmtId="0" fontId="69" fillId="0" borderId="0" xfId="3" applyFont="1" applyAlignment="1">
      <alignment horizontal="left"/>
    </xf>
    <xf numFmtId="0" fontId="69" fillId="0" borderId="0" xfId="3" applyFont="1" applyFill="1" applyAlignment="1">
      <alignment horizontal="left"/>
    </xf>
    <xf numFmtId="0" fontId="69" fillId="0" borderId="0" xfId="0" applyFont="1" applyAlignment="1">
      <alignment horizontal="left"/>
    </xf>
    <xf numFmtId="0" fontId="64" fillId="0" borderId="1" xfId="3" applyFont="1" applyFill="1" applyBorder="1"/>
    <xf numFmtId="0" fontId="72" fillId="0" borderId="0" xfId="3" applyFont="1" applyFill="1" applyBorder="1"/>
    <xf numFmtId="0" fontId="72" fillId="0" borderId="0" xfId="3" applyFont="1" applyFill="1"/>
    <xf numFmtId="0" fontId="67" fillId="0" borderId="2" xfId="3" applyFont="1" applyFill="1" applyBorder="1" applyAlignment="1">
      <alignment horizontal="left"/>
    </xf>
    <xf numFmtId="0" fontId="72" fillId="0" borderId="2" xfId="3" applyFont="1" applyFill="1" applyBorder="1"/>
    <xf numFmtId="0" fontId="64" fillId="0" borderId="0" xfId="3" applyNumberFormat="1" applyFont="1" applyFill="1" applyAlignment="1">
      <alignment horizontal="center"/>
    </xf>
    <xf numFmtId="0" fontId="64" fillId="0" borderId="2" xfId="3" applyNumberFormat="1" applyFont="1" applyFill="1" applyBorder="1" applyAlignment="1">
      <alignment horizontal="center"/>
    </xf>
    <xf numFmtId="176" fontId="72" fillId="0" borderId="0" xfId="1" applyNumberFormat="1" applyFont="1" applyFill="1" applyAlignment="1"/>
    <xf numFmtId="176" fontId="64" fillId="0" borderId="0" xfId="1" applyNumberFormat="1" applyFont="1" applyFill="1" applyAlignment="1"/>
    <xf numFmtId="176" fontId="72" fillId="0" borderId="0" xfId="1" applyNumberFormat="1" applyFont="1" applyFill="1" applyBorder="1" applyAlignment="1"/>
    <xf numFmtId="176" fontId="64" fillId="0" borderId="2" xfId="1" applyNumberFormat="1" applyFont="1" applyFill="1" applyBorder="1" applyAlignment="1"/>
    <xf numFmtId="175" fontId="77" fillId="0" borderId="0" xfId="3" applyNumberFormat="1" applyFont="1" applyFill="1" applyBorder="1"/>
    <xf numFmtId="172" fontId="64" fillId="0" borderId="0" xfId="3" applyNumberFormat="1" applyFont="1" applyFill="1" applyBorder="1"/>
    <xf numFmtId="172" fontId="64" fillId="0" borderId="0" xfId="3" applyNumberFormat="1" applyFont="1" applyFill="1"/>
    <xf numFmtId="166" fontId="64" fillId="0" borderId="0" xfId="3" applyNumberFormat="1" applyFont="1" applyFill="1"/>
    <xf numFmtId="172" fontId="65" fillId="0" borderId="0" xfId="3" applyNumberFormat="1" applyFont="1" applyFill="1" applyBorder="1"/>
    <xf numFmtId="172" fontId="72" fillId="0" borderId="0" xfId="3" applyNumberFormat="1" applyFont="1" applyFill="1" applyBorder="1"/>
    <xf numFmtId="0" fontId="67" fillId="0" borderId="2" xfId="3" applyFont="1" applyBorder="1"/>
    <xf numFmtId="0" fontId="68" fillId="0" borderId="0" xfId="3" applyFont="1" applyFill="1" applyAlignment="1">
      <alignment horizontal="left"/>
    </xf>
    <xf numFmtId="166" fontId="72" fillId="0" borderId="0" xfId="3" applyNumberFormat="1" applyFont="1"/>
    <xf numFmtId="166" fontId="64" fillId="0" borderId="0" xfId="3" applyNumberFormat="1" applyFont="1" applyFill="1" applyBorder="1"/>
    <xf numFmtId="0" fontId="64" fillId="0" borderId="0" xfId="3" quotePrefix="1" applyNumberFormat="1" applyFont="1" applyFill="1" applyBorder="1" applyAlignment="1">
      <alignment horizontal="center"/>
    </xf>
    <xf numFmtId="174" fontId="64" fillId="0" borderId="0" xfId="3" applyNumberFormat="1" applyFont="1" applyFill="1" applyBorder="1"/>
    <xf numFmtId="0" fontId="79" fillId="0" borderId="0" xfId="3" applyFont="1" applyFill="1" applyAlignment="1">
      <alignment horizontal="left"/>
    </xf>
    <xf numFmtId="0" fontId="79" fillId="0" borderId="0" xfId="3" applyFont="1" applyFill="1" applyBorder="1" applyAlignment="1">
      <alignment horizontal="left"/>
    </xf>
    <xf numFmtId="175" fontId="64" fillId="0" borderId="0" xfId="3" applyNumberFormat="1" applyFont="1" applyFill="1" applyBorder="1"/>
    <xf numFmtId="166" fontId="73" fillId="0" borderId="0" xfId="3" applyNumberFormat="1" applyFont="1" applyFill="1" applyBorder="1"/>
    <xf numFmtId="172" fontId="71" fillId="0" borderId="0" xfId="3" applyNumberFormat="1" applyFont="1" applyFill="1" applyBorder="1"/>
    <xf numFmtId="166" fontId="72" fillId="0" borderId="0" xfId="3" applyNumberFormat="1" applyFont="1" applyFill="1"/>
    <xf numFmtId="166" fontId="64" fillId="0" borderId="0" xfId="3" applyNumberFormat="1" applyFont="1" applyFill="1" applyAlignment="1">
      <alignment horizontal="center"/>
    </xf>
    <xf numFmtId="166" fontId="72" fillId="0" borderId="0" xfId="3" applyNumberFormat="1" applyFont="1" applyFill="1" applyBorder="1"/>
    <xf numFmtId="166" fontId="64" fillId="0" borderId="1" xfId="3" applyNumberFormat="1" applyFont="1" applyFill="1" applyBorder="1"/>
    <xf numFmtId="0" fontId="67" fillId="0" borderId="0" xfId="3" applyFont="1" applyFill="1" applyBorder="1"/>
    <xf numFmtId="0" fontId="64" fillId="0" borderId="1" xfId="3" applyFont="1" applyFill="1" applyBorder="1" applyAlignment="1">
      <alignment horizontal="left"/>
    </xf>
    <xf numFmtId="166" fontId="65" fillId="0" borderId="0" xfId="3" applyNumberFormat="1" applyFont="1" applyFill="1" applyBorder="1"/>
    <xf numFmtId="9" fontId="64" fillId="0" borderId="0" xfId="1" applyNumberFormat="1" applyFont="1" applyFill="1"/>
    <xf numFmtId="166" fontId="79" fillId="0" borderId="0" xfId="3" quotePrefix="1" applyNumberFormat="1" applyFont="1" applyFill="1" applyBorder="1"/>
    <xf numFmtId="166" fontId="79" fillId="0" borderId="0" xfId="3" applyNumberFormat="1" applyFont="1" applyFill="1" applyBorder="1"/>
    <xf numFmtId="0" fontId="80" fillId="0" borderId="0" xfId="3" quotePrefix="1" applyFont="1" applyFill="1" applyBorder="1"/>
    <xf numFmtId="0" fontId="80" fillId="0" borderId="0" xfId="3" applyFont="1" applyFill="1" applyBorder="1"/>
    <xf numFmtId="176" fontId="73" fillId="0" borderId="0" xfId="1" applyNumberFormat="1" applyFont="1" applyFill="1" applyBorder="1"/>
    <xf numFmtId="0" fontId="81" fillId="0" borderId="0" xfId="3" applyFont="1" applyFill="1" applyBorder="1"/>
    <xf numFmtId="0" fontId="68" fillId="0" borderId="0" xfId="3" applyFont="1" applyFill="1" applyBorder="1" applyAlignment="1">
      <alignment horizontal="left"/>
    </xf>
    <xf numFmtId="0" fontId="72" fillId="0" borderId="0" xfId="3" applyFont="1"/>
    <xf numFmtId="166" fontId="72" fillId="0" borderId="1" xfId="3" applyNumberFormat="1" applyFont="1" applyFill="1" applyBorder="1"/>
    <xf numFmtId="172" fontId="64" fillId="21" borderId="0" xfId="3" applyNumberFormat="1" applyFont="1" applyFill="1"/>
    <xf numFmtId="0" fontId="64" fillId="0" borderId="0" xfId="3" applyFont="1" applyFill="1" applyAlignment="1">
      <alignment wrapText="1"/>
    </xf>
    <xf numFmtId="166" fontId="64" fillId="21" borderId="0" xfId="3" applyNumberFormat="1" applyFont="1" applyFill="1"/>
    <xf numFmtId="172" fontId="65" fillId="0" borderId="0" xfId="3" applyNumberFormat="1" applyFont="1" applyFill="1"/>
    <xf numFmtId="0" fontId="80" fillId="0" borderId="0" xfId="3" applyFont="1"/>
    <xf numFmtId="0" fontId="64" fillId="21" borderId="0" xfId="3" applyFont="1" applyFill="1"/>
    <xf numFmtId="0" fontId="81" fillId="0" borderId="0" xfId="3" quotePrefix="1" applyFont="1" applyFill="1" applyBorder="1"/>
    <xf numFmtId="176" fontId="65" fillId="0" borderId="1" xfId="1" applyNumberFormat="1" applyFont="1" applyFill="1" applyBorder="1"/>
    <xf numFmtId="172" fontId="65" fillId="0" borderId="1" xfId="3" applyNumberFormat="1" applyFont="1" applyFill="1" applyBorder="1"/>
    <xf numFmtId="176" fontId="64" fillId="0" borderId="1" xfId="1" applyNumberFormat="1" applyFont="1" applyFill="1" applyBorder="1"/>
    <xf numFmtId="173" fontId="65" fillId="0" borderId="0" xfId="1" applyNumberFormat="1" applyFont="1" applyFill="1" applyBorder="1" applyAlignment="1">
      <alignment horizontal="left"/>
    </xf>
    <xf numFmtId="173" fontId="77" fillId="0" borderId="0" xfId="1" applyNumberFormat="1" applyFont="1" applyFill="1" applyBorder="1" applyAlignment="1">
      <alignment horizontal="left"/>
    </xf>
    <xf numFmtId="166" fontId="64" fillId="0" borderId="0" xfId="0" applyNumberFormat="1" applyFont="1" applyFill="1" applyBorder="1"/>
    <xf numFmtId="173" fontId="64" fillId="0" borderId="0" xfId="1" applyNumberFormat="1" applyFont="1" applyFill="1" applyBorder="1" applyAlignment="1">
      <alignment horizontal="center"/>
    </xf>
    <xf numFmtId="167" fontId="64" fillId="0" borderId="0" xfId="2" applyNumberFormat="1" applyFont="1" applyFill="1" applyBorder="1"/>
    <xf numFmtId="168" fontId="64" fillId="0" borderId="0" xfId="1" applyFont="1" applyFill="1"/>
    <xf numFmtId="173" fontId="64" fillId="0" borderId="2" xfId="1" applyNumberFormat="1" applyFont="1" applyBorder="1" applyAlignment="1">
      <alignment horizontal="left"/>
    </xf>
    <xf numFmtId="173" fontId="64" fillId="0" borderId="2" xfId="1" quotePrefix="1" applyNumberFormat="1" applyFont="1" applyBorder="1" applyAlignment="1">
      <alignment horizontal="center"/>
    </xf>
    <xf numFmtId="168" fontId="64" fillId="0" borderId="2" xfId="1" applyFont="1" applyFill="1" applyBorder="1"/>
    <xf numFmtId="0" fontId="82" fillId="0" borderId="0" xfId="0" applyFont="1" applyFill="1"/>
    <xf numFmtId="2" fontId="64" fillId="0" borderId="0" xfId="0" applyNumberFormat="1" applyFont="1" applyBorder="1" applyAlignment="1">
      <alignment horizontal="left"/>
    </xf>
    <xf numFmtId="167" fontId="65" fillId="0" borderId="0" xfId="0" applyNumberFormat="1" applyFont="1" applyBorder="1"/>
    <xf numFmtId="0" fontId="66" fillId="0" borderId="0" xfId="0" applyFont="1" applyAlignment="1">
      <alignment horizontal="center"/>
    </xf>
    <xf numFmtId="0" fontId="64" fillId="0" borderId="2" xfId="3" quotePrefix="1" applyNumberFormat="1" applyFont="1" applyFill="1" applyBorder="1" applyAlignment="1">
      <alignment horizontal="center"/>
    </xf>
    <xf numFmtId="166" fontId="73" fillId="0" borderId="0" xfId="3" applyNumberFormat="1" applyFont="1" applyFill="1"/>
    <xf numFmtId="173" fontId="64" fillId="0" borderId="0" xfId="3" applyNumberFormat="1" applyFont="1" applyFill="1" applyBorder="1"/>
    <xf numFmtId="173" fontId="64" fillId="0" borderId="0" xfId="0" applyNumberFormat="1" applyFont="1" applyFill="1" applyBorder="1"/>
    <xf numFmtId="167" fontId="65" fillId="0" borderId="0" xfId="0" applyNumberFormat="1" applyFont="1" applyFill="1" applyBorder="1"/>
    <xf numFmtId="0" fontId="65" fillId="0" borderId="4" xfId="0" applyFont="1" applyFill="1" applyBorder="1"/>
    <xf numFmtId="0" fontId="65" fillId="0" borderId="0" xfId="3" applyFont="1" applyFill="1"/>
    <xf numFmtId="0" fontId="17" fillId="0" borderId="0" xfId="3" applyFont="1"/>
    <xf numFmtId="166" fontId="4" fillId="0" borderId="0" xfId="3" applyNumberFormat="1" applyFont="1" applyFill="1"/>
    <xf numFmtId="172" fontId="85" fillId="0" borderId="0" xfId="3" applyNumberFormat="1" applyFont="1" applyFill="1" applyBorder="1" applyAlignment="1"/>
    <xf numFmtId="0" fontId="10" fillId="0" borderId="0" xfId="3" applyFont="1" applyFill="1" applyBorder="1"/>
    <xf numFmtId="0" fontId="85" fillId="0" borderId="0" xfId="3" applyFont="1" applyFill="1" applyBorder="1"/>
    <xf numFmtId="173" fontId="64" fillId="0" borderId="0" xfId="1" quotePrefix="1" applyNumberFormat="1" applyFont="1" applyFill="1" applyBorder="1" applyAlignment="1">
      <alignment horizontal="center"/>
    </xf>
    <xf numFmtId="173" fontId="64" fillId="0" borderId="0" xfId="1" applyNumberFormat="1" applyFont="1" applyFill="1" applyAlignment="1">
      <alignment horizontal="center"/>
    </xf>
    <xf numFmtId="173" fontId="64" fillId="0" borderId="0" xfId="1" quotePrefix="1" applyNumberFormat="1" applyFont="1" applyFill="1" applyAlignment="1">
      <alignment horizontal="center"/>
    </xf>
    <xf numFmtId="173" fontId="64" fillId="0" borderId="0" xfId="1" applyNumberFormat="1" applyFont="1" applyBorder="1" applyAlignment="1">
      <alignment horizontal="center"/>
    </xf>
    <xf numFmtId="173" fontId="65" fillId="0" borderId="1" xfId="1" applyNumberFormat="1" applyFont="1" applyBorder="1" applyAlignment="1">
      <alignment horizontal="left"/>
    </xf>
    <xf numFmtId="173" fontId="64" fillId="0" borderId="1" xfId="1" applyNumberFormat="1" applyFont="1" applyFill="1" applyBorder="1" applyAlignment="1">
      <alignment horizontal="left"/>
    </xf>
    <xf numFmtId="0" fontId="7" fillId="0" borderId="1" xfId="0" applyFont="1" applyFill="1" applyBorder="1"/>
    <xf numFmtId="0" fontId="3" fillId="0" borderId="1" xfId="0" applyFont="1" applyBorder="1" applyAlignment="1">
      <alignment horizontal="center"/>
    </xf>
    <xf numFmtId="0" fontId="74" fillId="0" borderId="0" xfId="3" applyFont="1" applyFill="1"/>
    <xf numFmtId="0" fontId="80" fillId="0" borderId="0" xfId="0" applyFont="1" applyBorder="1" applyAlignment="1">
      <alignment horizontal="center"/>
    </xf>
    <xf numFmtId="0" fontId="80" fillId="0" borderId="0" xfId="0" applyFont="1" applyBorder="1"/>
    <xf numFmtId="0" fontId="80" fillId="0" borderId="1" xfId="0" applyFont="1" applyBorder="1" applyAlignment="1">
      <alignment horizontal="left"/>
    </xf>
    <xf numFmtId="0" fontId="80" fillId="0" borderId="1" xfId="0" applyFont="1" applyBorder="1" applyAlignment="1">
      <alignment horizontal="center"/>
    </xf>
    <xf numFmtId="0" fontId="80" fillId="0" borderId="1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0" fillId="0" borderId="0" xfId="0" applyFont="1" applyBorder="1" applyAlignment="1">
      <alignment horizontal="left"/>
    </xf>
    <xf numFmtId="0" fontId="86" fillId="0" borderId="0" xfId="0" applyFont="1" applyBorder="1" applyAlignment="1">
      <alignment horizontal="center"/>
    </xf>
    <xf numFmtId="0" fontId="80" fillId="0" borderId="0" xfId="0" applyFont="1" applyBorder="1" applyAlignment="1"/>
    <xf numFmtId="0" fontId="81" fillId="0" borderId="0" xfId="0" applyFont="1" applyFill="1" applyBorder="1" applyAlignment="1">
      <alignment horizontal="centerContinuous"/>
    </xf>
    <xf numFmtId="0" fontId="80" fillId="0" borderId="0" xfId="0" applyFont="1" applyFill="1" applyBorder="1" applyAlignment="1">
      <alignment horizontal="centerContinuous"/>
    </xf>
    <xf numFmtId="0" fontId="80" fillId="0" borderId="0" xfId="0" applyFont="1" applyFill="1" applyBorder="1"/>
    <xf numFmtId="0" fontId="80" fillId="0" borderId="0" xfId="0" applyFont="1"/>
    <xf numFmtId="0" fontId="80" fillId="0" borderId="0" xfId="0" quotePrefix="1" applyFont="1" applyBorder="1" applyAlignment="1">
      <alignment horizontal="center"/>
    </xf>
    <xf numFmtId="176" fontId="80" fillId="0" borderId="0" xfId="1" applyNumberFormat="1" applyFont="1" applyFill="1"/>
    <xf numFmtId="176" fontId="80" fillId="0" borderId="0" xfId="1" applyNumberFormat="1" applyFont="1" applyFill="1" applyBorder="1"/>
    <xf numFmtId="0" fontId="80" fillId="0" borderId="0" xfId="0" applyFont="1" applyFill="1"/>
    <xf numFmtId="0" fontId="80" fillId="0" borderId="4" xfId="0" applyFont="1" applyFill="1" applyBorder="1"/>
    <xf numFmtId="0" fontId="80" fillId="0" borderId="4" xfId="0" applyFont="1" applyBorder="1"/>
    <xf numFmtId="176" fontId="80" fillId="0" borderId="4" xfId="1" applyNumberFormat="1" applyFont="1" applyFill="1" applyBorder="1"/>
    <xf numFmtId="0" fontId="80" fillId="0" borderId="2" xfId="0" applyFont="1" applyFill="1" applyBorder="1"/>
    <xf numFmtId="0" fontId="80" fillId="0" borderId="2" xfId="0" applyFont="1" applyBorder="1"/>
    <xf numFmtId="176" fontId="80" fillId="0" borderId="2" xfId="1" applyNumberFormat="1" applyFont="1" applyFill="1" applyBorder="1"/>
    <xf numFmtId="0" fontId="80" fillId="0" borderId="0" xfId="0" applyFont="1" applyAlignment="1">
      <alignment horizontal="left"/>
    </xf>
    <xf numFmtId="0" fontId="86" fillId="0" borderId="1" xfId="0" applyFont="1" applyFill="1" applyBorder="1"/>
    <xf numFmtId="0" fontId="86" fillId="0" borderId="3" xfId="0" applyFont="1" applyBorder="1"/>
    <xf numFmtId="0" fontId="86" fillId="0" borderId="0" xfId="0" applyFont="1" applyBorder="1"/>
    <xf numFmtId="176" fontId="86" fillId="0" borderId="3" xfId="1" applyNumberFormat="1" applyFont="1" applyFill="1" applyBorder="1"/>
    <xf numFmtId="176" fontId="86" fillId="0" borderId="0" xfId="1" applyNumberFormat="1" applyFont="1" applyFill="1" applyBorder="1"/>
    <xf numFmtId="176" fontId="81" fillId="0" borderId="0" xfId="1" applyNumberFormat="1" applyFont="1" applyFill="1"/>
    <xf numFmtId="0" fontId="80" fillId="0" borderId="0" xfId="0" applyFont="1" applyAlignment="1">
      <alignment horizontal="center"/>
    </xf>
    <xf numFmtId="0" fontId="80" fillId="0" borderId="0" xfId="0" quotePrefix="1" applyFont="1" applyAlignment="1">
      <alignment horizontal="center"/>
    </xf>
    <xf numFmtId="176" fontId="80" fillId="0" borderId="0" xfId="1" applyNumberFormat="1" applyFont="1" applyFill="1" applyAlignment="1">
      <alignment horizontal="left"/>
    </xf>
    <xf numFmtId="176" fontId="80" fillId="0" borderId="0" xfId="1" applyNumberFormat="1" applyFont="1" applyFill="1" applyBorder="1" applyAlignment="1">
      <alignment horizontal="left"/>
    </xf>
    <xf numFmtId="0" fontId="87" fillId="0" borderId="0" xfId="0" applyFont="1" applyFill="1" applyBorder="1"/>
    <xf numFmtId="179" fontId="73" fillId="0" borderId="0" xfId="3" applyNumberFormat="1" applyFont="1" applyFill="1" applyBorder="1"/>
    <xf numFmtId="0" fontId="69" fillId="0" borderId="0" xfId="0" applyFont="1" applyBorder="1" applyAlignment="1">
      <alignment horizontal="center"/>
    </xf>
    <xf numFmtId="0" fontId="69" fillId="0" borderId="0" xfId="0" applyFont="1" applyBorder="1"/>
    <xf numFmtId="0" fontId="69" fillId="0" borderId="0" xfId="0" applyFont="1" applyFill="1" applyBorder="1"/>
    <xf numFmtId="0" fontId="3" fillId="0" borderId="0" xfId="0" applyFont="1" applyBorder="1" applyAlignment="1"/>
    <xf numFmtId="0" fontId="11" fillId="0" borderId="0" xfId="0" applyFont="1" applyBorder="1" applyAlignment="1"/>
    <xf numFmtId="168" fontId="72" fillId="0" borderId="0" xfId="1" applyNumberFormat="1" applyFont="1" applyFill="1" applyBorder="1" applyAlignment="1"/>
    <xf numFmtId="0" fontId="65" fillId="0" borderId="1" xfId="3" applyFont="1" applyFill="1" applyBorder="1"/>
    <xf numFmtId="176" fontId="72" fillId="0" borderId="2" xfId="1" applyNumberFormat="1" applyFont="1" applyFill="1" applyBorder="1" applyAlignment="1"/>
    <xf numFmtId="176" fontId="64" fillId="21" borderId="0" xfId="1" applyNumberFormat="1" applyFont="1" applyFill="1"/>
    <xf numFmtId="0" fontId="72" fillId="21" borderId="0" xfId="3" applyFont="1" applyFill="1" applyBorder="1"/>
    <xf numFmtId="176" fontId="64" fillId="21" borderId="0" xfId="1" applyNumberFormat="1" applyFont="1" applyFill="1" applyBorder="1"/>
    <xf numFmtId="0" fontId="64" fillId="21" borderId="0" xfId="3" applyFont="1" applyFill="1" applyBorder="1"/>
    <xf numFmtId="176" fontId="65" fillId="21" borderId="4" xfId="1" applyNumberFormat="1" applyFont="1" applyFill="1" applyBorder="1"/>
    <xf numFmtId="176" fontId="64" fillId="21" borderId="0" xfId="1" applyNumberFormat="1" applyFont="1" applyFill="1" applyAlignment="1"/>
    <xf numFmtId="176" fontId="65" fillId="0" borderId="3" xfId="303" applyNumberFormat="1" applyFont="1" applyFill="1" applyBorder="1"/>
    <xf numFmtId="176" fontId="64" fillId="0" borderId="4" xfId="303" applyNumberFormat="1" applyFont="1" applyFill="1" applyBorder="1"/>
    <xf numFmtId="176" fontId="64" fillId="21" borderId="0" xfId="303" applyNumberFormat="1" applyFont="1" applyFill="1"/>
    <xf numFmtId="176" fontId="64" fillId="0" borderId="0" xfId="303" applyNumberFormat="1" applyFont="1" applyFill="1"/>
    <xf numFmtId="176" fontId="71" fillId="0" borderId="0" xfId="303" applyNumberFormat="1" applyFont="1" applyFill="1" applyBorder="1"/>
    <xf numFmtId="176" fontId="64" fillId="0" borderId="0" xfId="303" applyNumberFormat="1" applyFont="1" applyFill="1" applyBorder="1"/>
    <xf numFmtId="168" fontId="64" fillId="21" borderId="0" xfId="1" applyNumberFormat="1" applyFont="1" applyFill="1" applyAlignment="1"/>
    <xf numFmtId="176" fontId="64" fillId="21" borderId="0" xfId="121" applyNumberFormat="1" applyFont="1" applyFill="1"/>
    <xf numFmtId="176" fontId="72" fillId="21" borderId="0" xfId="1" applyNumberFormat="1" applyFont="1" applyFill="1" applyBorder="1" applyAlignment="1"/>
    <xf numFmtId="167" fontId="64" fillId="21" borderId="0" xfId="2" applyNumberFormat="1" applyFont="1" applyFill="1" applyBorder="1"/>
    <xf numFmtId="173" fontId="65" fillId="21" borderId="0" xfId="1" applyNumberFormat="1" applyFont="1" applyFill="1" applyBorder="1" applyAlignment="1">
      <alignment horizontal="left"/>
    </xf>
    <xf numFmtId="176" fontId="64" fillId="21" borderId="2" xfId="1" applyNumberFormat="1" applyFont="1" applyFill="1" applyBorder="1" applyAlignment="1"/>
    <xf numFmtId="172" fontId="65" fillId="21" borderId="0" xfId="3" applyNumberFormat="1" applyFont="1" applyFill="1"/>
    <xf numFmtId="0" fontId="65" fillId="21" borderId="0" xfId="3" applyFont="1" applyFill="1"/>
    <xf numFmtId="173" fontId="64" fillId="21" borderId="0" xfId="3" applyNumberFormat="1" applyFont="1" applyFill="1" applyBorder="1"/>
    <xf numFmtId="166" fontId="73" fillId="21" borderId="0" xfId="3" applyNumberFormat="1" applyFont="1" applyFill="1" applyBorder="1"/>
    <xf numFmtId="0" fontId="81" fillId="21" borderId="0" xfId="3" applyFont="1" applyFill="1" applyBorder="1"/>
    <xf numFmtId="0" fontId="80" fillId="21" borderId="0" xfId="3" applyFont="1" applyFill="1" applyBorder="1"/>
    <xf numFmtId="0" fontId="69" fillId="21" borderId="1" xfId="0" applyFont="1" applyFill="1" applyBorder="1"/>
    <xf numFmtId="0" fontId="69" fillId="21" borderId="0" xfId="0" applyFont="1" applyFill="1" applyBorder="1"/>
    <xf numFmtId="0" fontId="64" fillId="21" borderId="1" xfId="3" applyFont="1" applyFill="1" applyBorder="1"/>
    <xf numFmtId="41" fontId="64" fillId="21" borderId="0" xfId="3" applyNumberFormat="1" applyFont="1" applyFill="1" applyBorder="1" applyAlignment="1">
      <alignment horizontal="center"/>
    </xf>
    <xf numFmtId="0" fontId="64" fillId="21" borderId="0" xfId="3" applyNumberFormat="1" applyFont="1" applyFill="1" applyBorder="1" applyAlignment="1">
      <alignment horizontal="center"/>
    </xf>
    <xf numFmtId="0" fontId="67" fillId="21" borderId="0" xfId="3" applyFont="1" applyFill="1" applyBorder="1" applyAlignment="1"/>
    <xf numFmtId="176" fontId="64" fillId="21" borderId="0" xfId="1" applyNumberFormat="1" applyFont="1" applyFill="1" applyBorder="1" applyAlignment="1"/>
    <xf numFmtId="168" fontId="64" fillId="21" borderId="0" xfId="1" applyNumberFormat="1" applyFont="1" applyFill="1" applyBorder="1" applyAlignment="1"/>
    <xf numFmtId="166" fontId="64" fillId="21" borderId="0" xfId="0" applyNumberFormat="1" applyFont="1" applyFill="1" applyBorder="1"/>
    <xf numFmtId="0" fontId="3" fillId="21" borderId="0" xfId="3" applyFont="1" applyFill="1"/>
    <xf numFmtId="0" fontId="72" fillId="0" borderId="0" xfId="3" applyFont="1" applyFill="1" applyBorder="1" applyAlignment="1"/>
    <xf numFmtId="168" fontId="16" fillId="0" borderId="0" xfId="1" applyFont="1" applyFill="1" applyBorder="1"/>
    <xf numFmtId="41" fontId="64" fillId="0" borderId="2" xfId="3" applyNumberFormat="1" applyFont="1" applyFill="1" applyBorder="1" applyAlignment="1">
      <alignment horizontal="center"/>
    </xf>
    <xf numFmtId="41" fontId="64" fillId="0" borderId="0" xfId="3" applyNumberFormat="1" applyFont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168" fontId="64" fillId="0" borderId="0" xfId="1" applyNumberFormat="1" applyFont="1" applyFill="1" applyAlignment="1"/>
    <xf numFmtId="0" fontId="80" fillId="0" borderId="6" xfId="0" applyFont="1" applyBorder="1" applyAlignment="1"/>
    <xf numFmtId="0" fontId="80" fillId="0" borderId="5" xfId="0" applyFont="1" applyBorder="1" applyAlignment="1"/>
    <xf numFmtId="168" fontId="64" fillId="0" borderId="0" xfId="1" applyNumberFormat="1" applyFont="1" applyFill="1"/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 indent="1"/>
    </xf>
    <xf numFmtId="0" fontId="66" fillId="0" borderId="0" xfId="3" applyFont="1" applyAlignment="1">
      <alignment horizontal="left"/>
    </xf>
    <xf numFmtId="0" fontId="69" fillId="0" borderId="0" xfId="0" applyFont="1" applyAlignment="1">
      <alignment horizontal="center"/>
    </xf>
    <xf numFmtId="0" fontId="64" fillId="0" borderId="5" xfId="3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4" fillId="0" borderId="4" xfId="3" applyFont="1" applyFill="1" applyBorder="1" applyAlignment="1">
      <alignment horizontal="left"/>
    </xf>
    <xf numFmtId="0" fontId="64" fillId="0" borderId="4" xfId="3" applyFont="1" applyFill="1" applyBorder="1" applyAlignment="1">
      <alignment horizontal="center"/>
    </xf>
    <xf numFmtId="176" fontId="64" fillId="0" borderId="0" xfId="3" applyNumberFormat="1" applyFont="1" applyFill="1" applyBorder="1"/>
    <xf numFmtId="180" fontId="64" fillId="0" borderId="0" xfId="3" applyNumberFormat="1" applyFont="1" applyFill="1" applyBorder="1"/>
    <xf numFmtId="176" fontId="65" fillId="21" borderId="4" xfId="3" applyNumberFormat="1" applyFont="1" applyFill="1" applyBorder="1"/>
    <xf numFmtId="176" fontId="65" fillId="0" borderId="4" xfId="3" applyNumberFormat="1" applyFont="1" applyFill="1" applyBorder="1"/>
    <xf numFmtId="176" fontId="64" fillId="0" borderId="0" xfId="3" applyNumberFormat="1" applyFont="1"/>
    <xf numFmtId="168" fontId="64" fillId="0" borderId="0" xfId="3" applyNumberFormat="1" applyFont="1" applyFill="1" applyBorder="1"/>
    <xf numFmtId="176" fontId="64" fillId="0" borderId="2" xfId="3" applyNumberFormat="1" applyFont="1" applyFill="1" applyBorder="1"/>
    <xf numFmtId="174" fontId="73" fillId="0" borderId="0" xfId="3" applyNumberFormat="1" applyFont="1" applyFill="1" applyBorder="1"/>
    <xf numFmtId="176" fontId="64" fillId="0" borderId="0" xfId="1" applyNumberFormat="1" applyFont="1" applyBorder="1" applyAlignment="1">
      <alignment horizontal="left"/>
    </xf>
    <xf numFmtId="176" fontId="65" fillId="0" borderId="0" xfId="1" applyNumberFormat="1" applyFont="1" applyBorder="1" applyAlignment="1">
      <alignment horizontal="left"/>
    </xf>
    <xf numFmtId="176" fontId="64" fillId="0" borderId="2" xfId="1" applyNumberFormat="1" applyFont="1" applyBorder="1" applyAlignment="1">
      <alignment horizontal="left"/>
    </xf>
    <xf numFmtId="176" fontId="64" fillId="0" borderId="4" xfId="1" applyNumberFormat="1" applyFont="1" applyBorder="1" applyAlignment="1">
      <alignment horizontal="left"/>
    </xf>
    <xf numFmtId="176" fontId="64" fillId="0" borderId="0" xfId="1" applyNumberFormat="1" applyFont="1" applyFill="1" applyBorder="1" applyAlignment="1">
      <alignment horizontal="left"/>
    </xf>
    <xf numFmtId="176" fontId="11" fillId="0" borderId="0" xfId="1" applyNumberFormat="1" applyFont="1" applyFill="1" applyBorder="1"/>
    <xf numFmtId="176" fontId="64" fillId="0" borderId="0" xfId="1" applyNumberFormat="1" applyFont="1" applyAlignment="1">
      <alignment horizontal="left"/>
    </xf>
    <xf numFmtId="176" fontId="64" fillId="0" borderId="0" xfId="1" quotePrefix="1" applyNumberFormat="1" applyFont="1" applyBorder="1" applyAlignment="1">
      <alignment horizontal="left"/>
    </xf>
    <xf numFmtId="176" fontId="64" fillId="0" borderId="0" xfId="1" quotePrefix="1" applyNumberFormat="1" applyFont="1" applyFill="1" applyBorder="1" applyAlignment="1">
      <alignment horizontal="left"/>
    </xf>
    <xf numFmtId="176" fontId="65" fillId="0" borderId="2" xfId="1" applyNumberFormat="1" applyFont="1" applyBorder="1" applyAlignment="1">
      <alignment horizontal="left"/>
    </xf>
    <xf numFmtId="176" fontId="11" fillId="0" borderId="0" xfId="1" applyNumberFormat="1" applyFont="1" applyFill="1"/>
    <xf numFmtId="0" fontId="24" fillId="0" borderId="0" xfId="3" quotePrefix="1" applyFont="1" applyFill="1"/>
    <xf numFmtId="9" fontId="64" fillId="0" borderId="0" xfId="3" applyNumberFormat="1" applyFont="1" applyFill="1"/>
    <xf numFmtId="180" fontId="64" fillId="0" borderId="0" xfId="3" applyNumberFormat="1" applyFont="1" applyFill="1"/>
    <xf numFmtId="176" fontId="64" fillId="0" borderId="2" xfId="303" applyNumberFormat="1" applyFont="1" applyFill="1" applyBorder="1"/>
    <xf numFmtId="176" fontId="64" fillId="0" borderId="2" xfId="1" applyNumberFormat="1" applyFont="1" applyFill="1" applyBorder="1" applyAlignment="1">
      <alignment horizontal="left"/>
    </xf>
    <xf numFmtId="41" fontId="64" fillId="0" borderId="2" xfId="3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6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41" fontId="64" fillId="0" borderId="0" xfId="3" applyNumberFormat="1" applyFont="1" applyFill="1" applyBorder="1" applyAlignment="1">
      <alignment horizontal="center"/>
    </xf>
    <xf numFmtId="180" fontId="64" fillId="0" borderId="2" xfId="3" applyNumberFormat="1" applyFont="1" applyFill="1" applyBorder="1"/>
    <xf numFmtId="0" fontId="65" fillId="0" borderId="2" xfId="3" applyFont="1" applyFill="1" applyBorder="1"/>
    <xf numFmtId="0" fontId="77" fillId="0" borderId="0" xfId="3" applyFont="1" applyFill="1" applyBorder="1"/>
    <xf numFmtId="0" fontId="64" fillId="0" borderId="4" xfId="3" applyFont="1" applyFill="1" applyBorder="1"/>
    <xf numFmtId="41" fontId="64" fillId="0" borderId="2" xfId="3" applyNumberFormat="1" applyFont="1" applyFill="1" applyBorder="1" applyAlignment="1"/>
    <xf numFmtId="0" fontId="78" fillId="0" borderId="0" xfId="0" applyFont="1" applyFill="1"/>
    <xf numFmtId="41" fontId="64" fillId="0" borderId="6" xfId="3" applyNumberFormat="1" applyFont="1" applyFill="1" applyBorder="1" applyAlignment="1">
      <alignment horizontal="center"/>
    </xf>
    <xf numFmtId="41" fontId="64" fillId="0" borderId="0" xfId="3" applyNumberFormat="1" applyFont="1" applyFill="1" applyBorder="1" applyAlignment="1"/>
    <xf numFmtId="0" fontId="17" fillId="0" borderId="0" xfId="3" applyFont="1" applyFill="1"/>
    <xf numFmtId="0" fontId="73" fillId="0" borderId="0" xfId="3" applyFont="1" applyFill="1"/>
    <xf numFmtId="176" fontId="64" fillId="0" borderId="0" xfId="3" applyNumberFormat="1" applyFont="1" applyFill="1"/>
    <xf numFmtId="0" fontId="68" fillId="0" borderId="0" xfId="3" applyFont="1" applyFill="1"/>
    <xf numFmtId="0" fontId="64" fillId="0" borderId="0" xfId="3" applyNumberFormat="1" applyFont="1" applyFill="1" applyBorder="1" applyAlignment="1">
      <alignment horizontal="center"/>
    </xf>
    <xf numFmtId="176" fontId="65" fillId="0" borderId="2" xfId="1" applyNumberFormat="1" applyFont="1" applyFill="1" applyBorder="1"/>
    <xf numFmtId="0" fontId="12" fillId="0" borderId="0" xfId="3" applyFont="1" applyFill="1"/>
    <xf numFmtId="0" fontId="4" fillId="0" borderId="0" xfId="3" applyFont="1" applyFill="1"/>
    <xf numFmtId="0" fontId="3" fillId="0" borderId="1" xfId="3" applyFont="1" applyFill="1" applyBorder="1"/>
    <xf numFmtId="166" fontId="67" fillId="0" borderId="0" xfId="3" applyNumberFormat="1" applyFont="1" applyFill="1" applyAlignment="1"/>
    <xf numFmtId="166" fontId="67" fillId="0" borderId="0" xfId="3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69" fillId="0" borderId="0" xfId="3" applyFont="1" applyFill="1" applyBorder="1" applyAlignment="1">
      <alignment horizontal="left"/>
    </xf>
    <xf numFmtId="0" fontId="75" fillId="0" borderId="0" xfId="3" applyFont="1" applyFill="1" applyAlignment="1">
      <alignment horizontal="left"/>
    </xf>
    <xf numFmtId="0" fontId="9" fillId="0" borderId="0" xfId="3" applyFont="1" applyFill="1" applyAlignment="1">
      <alignment horizontal="left"/>
    </xf>
    <xf numFmtId="0" fontId="73" fillId="0" borderId="0" xfId="3" applyFont="1" applyFill="1" applyBorder="1"/>
    <xf numFmtId="0" fontId="18" fillId="0" borderId="0" xfId="3" applyFont="1" applyFill="1" applyAlignment="1"/>
    <xf numFmtId="0" fontId="84" fillId="0" borderId="0" xfId="3" applyFont="1" applyFill="1" applyBorder="1"/>
    <xf numFmtId="0" fontId="85" fillId="0" borderId="0" xfId="3" applyFont="1" applyFill="1" applyBorder="1" applyAlignment="1"/>
    <xf numFmtId="172" fontId="3" fillId="0" borderId="0" xfId="3" applyNumberFormat="1" applyFont="1" applyFill="1" applyBorder="1"/>
    <xf numFmtId="0" fontId="64" fillId="0" borderId="0" xfId="3" applyFont="1" applyFill="1" applyBorder="1" applyAlignment="1"/>
    <xf numFmtId="172" fontId="33" fillId="0" borderId="0" xfId="3" applyNumberFormat="1" applyFont="1" applyFill="1" applyBorder="1"/>
    <xf numFmtId="0" fontId="67" fillId="0" borderId="0" xfId="3" applyFont="1" applyFill="1" applyAlignment="1"/>
    <xf numFmtId="166" fontId="11" fillId="0" borderId="0" xfId="3" applyNumberFormat="1" applyFont="1" applyFill="1"/>
    <xf numFmtId="166" fontId="24" fillId="0" borderId="0" xfId="3" applyNumberFormat="1" applyFont="1" applyFill="1" applyBorder="1" applyAlignment="1">
      <alignment horizontal="left"/>
    </xf>
    <xf numFmtId="0" fontId="24" fillId="0" borderId="0" xfId="3" applyFont="1" applyFill="1" applyAlignment="1">
      <alignment horizontal="left"/>
    </xf>
    <xf numFmtId="0" fontId="83" fillId="0" borderId="0" xfId="3" applyFont="1" applyFill="1"/>
    <xf numFmtId="175" fontId="73" fillId="0" borderId="0" xfId="3" applyNumberFormat="1" applyFont="1" applyFill="1" applyBorder="1"/>
    <xf numFmtId="166" fontId="8" fillId="0" borderId="0" xfId="3" applyNumberFormat="1" applyFont="1" applyFill="1"/>
    <xf numFmtId="173" fontId="4" fillId="0" borderId="0" xfId="3" applyNumberFormat="1" applyFont="1" applyFill="1"/>
    <xf numFmtId="168" fontId="64" fillId="0" borderId="0" xfId="1" applyFont="1" applyFill="1" applyBorder="1"/>
    <xf numFmtId="0" fontId="66" fillId="0" borderId="0" xfId="0" applyFont="1" applyFill="1" applyAlignment="1">
      <alignment horizontal="center"/>
    </xf>
    <xf numFmtId="173" fontId="3" fillId="0" borderId="0" xfId="3" applyNumberFormat="1" applyFont="1" applyFill="1" applyBorder="1"/>
    <xf numFmtId="173" fontId="73" fillId="0" borderId="0" xfId="3" applyNumberFormat="1" applyFont="1" applyFill="1"/>
    <xf numFmtId="173" fontId="64" fillId="0" borderId="0" xfId="3" applyNumberFormat="1" applyFont="1" applyFill="1"/>
    <xf numFmtId="0" fontId="74" fillId="0" borderId="0" xfId="3" applyFont="1" applyFill="1" applyAlignment="1">
      <alignment wrapText="1"/>
    </xf>
    <xf numFmtId="176" fontId="64" fillId="0" borderId="0" xfId="1" quotePrefix="1" applyNumberFormat="1" applyFont="1" applyFill="1"/>
    <xf numFmtId="16" fontId="64" fillId="0" borderId="0" xfId="0" quotePrefix="1" applyNumberFormat="1" applyFont="1" applyBorder="1" applyAlignment="1">
      <alignment horizontal="center"/>
    </xf>
    <xf numFmtId="0" fontId="24" fillId="0" borderId="0" xfId="3" quotePrefix="1" applyFont="1" applyFill="1" applyBorder="1"/>
    <xf numFmtId="0" fontId="2" fillId="0" borderId="0" xfId="3" applyFill="1" applyBorder="1"/>
    <xf numFmtId="176" fontId="0" fillId="0" borderId="0" xfId="1" applyNumberFormat="1" applyFont="1"/>
    <xf numFmtId="176" fontId="88" fillId="0" borderId="0" xfId="1" applyNumberFormat="1" applyFont="1" applyBorder="1"/>
    <xf numFmtId="0" fontId="3" fillId="0" borderId="4" xfId="3" applyFont="1" applyBorder="1"/>
    <xf numFmtId="176" fontId="88" fillId="0" borderId="4" xfId="1" applyNumberFormat="1" applyFont="1" applyBorder="1"/>
    <xf numFmtId="176" fontId="89" fillId="0" borderId="0" xfId="1" applyNumberFormat="1" applyFont="1"/>
    <xf numFmtId="176" fontId="89" fillId="0" borderId="0" xfId="1" applyNumberFormat="1" applyFont="1" applyFill="1"/>
    <xf numFmtId="176" fontId="89" fillId="0" borderId="0" xfId="1" applyNumberFormat="1" applyFont="1" applyBorder="1"/>
    <xf numFmtId="176" fontId="90" fillId="0" borderId="4" xfId="1" applyNumberFormat="1" applyFont="1" applyFill="1" applyBorder="1"/>
    <xf numFmtId="172" fontId="90" fillId="0" borderId="0" xfId="3" applyNumberFormat="1" applyFont="1" applyFill="1"/>
    <xf numFmtId="0" fontId="90" fillId="0" borderId="0" xfId="3" applyFont="1" applyFill="1"/>
    <xf numFmtId="176" fontId="90" fillId="0" borderId="4" xfId="3" applyNumberFormat="1" applyFont="1" applyFill="1" applyBorder="1"/>
    <xf numFmtId="176" fontId="90" fillId="0" borderId="0" xfId="1" applyNumberFormat="1" applyFont="1"/>
    <xf numFmtId="176" fontId="90" fillId="0" borderId="0" xfId="1" applyNumberFormat="1" applyFont="1" applyFill="1"/>
    <xf numFmtId="41" fontId="64" fillId="0" borderId="5" xfId="3" applyNumberFormat="1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41" fontId="64" fillId="0" borderId="6" xfId="3" applyNumberFormat="1" applyFont="1" applyFill="1" applyBorder="1" applyAlignment="1">
      <alignment horizontal="center"/>
    </xf>
    <xf numFmtId="176" fontId="64" fillId="0" borderId="0" xfId="1" applyNumberFormat="1" applyFont="1" applyFill="1" applyBorder="1" applyAlignment="1"/>
    <xf numFmtId="0" fontId="77" fillId="0" borderId="2" xfId="3" applyFont="1" applyFill="1" applyBorder="1"/>
    <xf numFmtId="176" fontId="65" fillId="0" borderId="2" xfId="1" applyNumberFormat="1" applyFont="1" applyFill="1" applyBorder="1" applyAlignment="1"/>
    <xf numFmtId="176" fontId="77" fillId="0" borderId="0" xfId="1" applyNumberFormat="1" applyFont="1" applyFill="1" applyBorder="1" applyAlignment="1"/>
    <xf numFmtId="168" fontId="65" fillId="0" borderId="0" xfId="1" applyFont="1" applyFill="1" applyBorder="1"/>
    <xf numFmtId="175" fontId="72" fillId="0" borderId="0" xfId="3" applyNumberFormat="1" applyFont="1" applyFill="1" applyBorder="1"/>
    <xf numFmtId="41" fontId="64" fillId="0" borderId="1" xfId="3" applyNumberFormat="1" applyFont="1" applyFill="1" applyBorder="1"/>
    <xf numFmtId="9" fontId="64" fillId="0" borderId="0" xfId="1" applyNumberFormat="1" applyFont="1" applyFill="1" applyAlignment="1"/>
    <xf numFmtId="9" fontId="67" fillId="0" borderId="0" xfId="3" applyNumberFormat="1" applyFont="1" applyFill="1" applyBorder="1" applyAlignment="1"/>
    <xf numFmtId="9" fontId="64" fillId="0" borderId="0" xfId="3" applyNumberFormat="1" applyFont="1" applyFill="1" applyBorder="1" applyAlignment="1"/>
    <xf numFmtId="9" fontId="72" fillId="0" borderId="0" xfId="1" applyNumberFormat="1" applyFont="1" applyFill="1" applyAlignment="1"/>
    <xf numFmtId="9" fontId="64" fillId="0" borderId="0" xfId="1" applyNumberFormat="1" applyFont="1" applyFill="1" applyBorder="1" applyAlignment="1"/>
    <xf numFmtId="9" fontId="72" fillId="0" borderId="0" xfId="1" applyNumberFormat="1" applyFont="1" applyFill="1" applyBorder="1" applyAlignment="1"/>
    <xf numFmtId="9" fontId="64" fillId="0" borderId="2" xfId="1" applyNumberFormat="1" applyFont="1" applyFill="1" applyBorder="1" applyAlignment="1"/>
    <xf numFmtId="9" fontId="64" fillId="0" borderId="2" xfId="3" applyNumberFormat="1" applyFont="1" applyFill="1" applyBorder="1" applyAlignment="1"/>
    <xf numFmtId="0" fontId="64" fillId="0" borderId="15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0" fontId="67" fillId="0" borderId="2" xfId="0" applyFont="1" applyFill="1" applyBorder="1" applyAlignment="1"/>
    <xf numFmtId="0" fontId="64" fillId="0" borderId="2" xfId="0" applyFont="1" applyFill="1" applyBorder="1" applyAlignment="1">
      <alignment horizontal="center"/>
    </xf>
    <xf numFmtId="0" fontId="64" fillId="0" borderId="0" xfId="0" applyFont="1" applyFill="1" applyBorder="1" applyAlignment="1"/>
    <xf numFmtId="0" fontId="73" fillId="0" borderId="0" xfId="0" applyFont="1" applyFill="1" applyBorder="1" applyAlignment="1">
      <alignment horizontal="center"/>
    </xf>
    <xf numFmtId="173" fontId="64" fillId="0" borderId="2" xfId="1" applyNumberFormat="1" applyFont="1" applyFill="1" applyBorder="1" applyAlignment="1">
      <alignment horizontal="left"/>
    </xf>
    <xf numFmtId="173" fontId="64" fillId="0" borderId="2" xfId="1" quotePrefix="1" applyNumberFormat="1" applyFont="1" applyFill="1" applyBorder="1" applyAlignment="1">
      <alignment horizontal="center"/>
    </xf>
    <xf numFmtId="173" fontId="65" fillId="0" borderId="0" xfId="1" applyNumberFormat="1" applyFont="1" applyFill="1" applyBorder="1" applyAlignment="1">
      <alignment horizontal="center"/>
    </xf>
    <xf numFmtId="176" fontId="65" fillId="0" borderId="15" xfId="1" applyNumberFormat="1" applyFont="1" applyFill="1" applyBorder="1"/>
    <xf numFmtId="172" fontId="77" fillId="0" borderId="0" xfId="3" applyNumberFormat="1" applyFont="1" applyFill="1" applyBorder="1"/>
    <xf numFmtId="41" fontId="64" fillId="0" borderId="0" xfId="3" applyNumberFormat="1" applyFont="1" applyFill="1"/>
    <xf numFmtId="0" fontId="64" fillId="0" borderId="0" xfId="0" applyFont="1" applyFill="1"/>
    <xf numFmtId="176" fontId="65" fillId="0" borderId="0" xfId="3" applyNumberFormat="1" applyFont="1" applyFill="1" applyBorder="1"/>
    <xf numFmtId="0" fontId="63" fillId="0" borderId="0" xfId="0" applyFont="1" applyFill="1" applyBorder="1" applyAlignment="1">
      <alignment horizontal="left" vertical="center"/>
    </xf>
    <xf numFmtId="0" fontId="63" fillId="0" borderId="4" xfId="0" applyFont="1" applyFill="1" applyBorder="1" applyAlignment="1">
      <alignment horizontal="left" vertical="center"/>
    </xf>
    <xf numFmtId="0" fontId="64" fillId="0" borderId="4" xfId="3" applyNumberFormat="1" applyFont="1" applyFill="1" applyBorder="1" applyAlignment="1">
      <alignment horizontal="center"/>
    </xf>
    <xf numFmtId="41" fontId="64" fillId="0" borderId="5" xfId="3" applyNumberFormat="1" applyFont="1" applyFill="1" applyBorder="1" applyAlignment="1"/>
    <xf numFmtId="176" fontId="65" fillId="0" borderId="0" xfId="1" applyNumberFormat="1" applyFont="1" applyFill="1" applyBorder="1" applyAlignment="1"/>
    <xf numFmtId="172" fontId="72" fillId="0" borderId="0" xfId="3" applyNumberFormat="1" applyFont="1" applyFill="1"/>
    <xf numFmtId="176" fontId="65" fillId="0" borderId="0" xfId="1" applyNumberFormat="1" applyFont="1" applyFill="1" applyAlignment="1">
      <alignment horizontal="left"/>
    </xf>
    <xf numFmtId="41" fontId="64" fillId="0" borderId="5" xfId="3" applyNumberFormat="1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2" fontId="89" fillId="0" borderId="0" xfId="0" applyNumberFormat="1" applyFont="1" applyBorder="1" applyAlignment="1">
      <alignment horizontal="left"/>
    </xf>
    <xf numFmtId="166" fontId="89" fillId="0" borderId="0" xfId="0" applyNumberFormat="1" applyFont="1" applyFill="1" applyBorder="1"/>
    <xf numFmtId="166" fontId="89" fillId="21" borderId="0" xfId="0" applyNumberFormat="1" applyFont="1" applyFill="1" applyBorder="1"/>
    <xf numFmtId="0" fontId="91" fillId="0" borderId="0" xfId="0" applyFont="1" applyAlignment="1">
      <alignment horizontal="center"/>
    </xf>
    <xf numFmtId="0" fontId="89" fillId="0" borderId="0" xfId="3" applyFont="1"/>
    <xf numFmtId="0" fontId="89" fillId="0" borderId="0" xfId="3" applyFont="1" applyFill="1"/>
    <xf numFmtId="0" fontId="89" fillId="21" borderId="0" xfId="3" applyFont="1" applyFill="1"/>
    <xf numFmtId="0" fontId="89" fillId="0" borderId="0" xfId="3" applyFont="1" applyBorder="1"/>
    <xf numFmtId="0" fontId="92" fillId="0" borderId="0" xfId="3" applyFont="1"/>
    <xf numFmtId="41" fontId="64" fillId="0" borderId="2" xfId="3" applyNumberFormat="1" applyFont="1" applyFill="1" applyBorder="1" applyAlignment="1">
      <alignment horizontal="center"/>
    </xf>
    <xf numFmtId="0" fontId="78" fillId="0" borderId="1" xfId="0" applyFont="1" applyFill="1" applyBorder="1"/>
    <xf numFmtId="0" fontId="69" fillId="0" borderId="0" xfId="0" applyFont="1" applyAlignment="1">
      <alignment horizontal="center"/>
    </xf>
    <xf numFmtId="0" fontId="64" fillId="0" borderId="5" xfId="3" applyFont="1" applyBorder="1" applyAlignment="1">
      <alignment horizontal="center"/>
    </xf>
    <xf numFmtId="16" fontId="64" fillId="0" borderId="2" xfId="0" quotePrefix="1" applyNumberFormat="1" applyFont="1" applyBorder="1" applyAlignment="1">
      <alignment horizontal="center"/>
    </xf>
    <xf numFmtId="0" fontId="80" fillId="0" borderId="6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4" fillId="0" borderId="2" xfId="3" applyFont="1" applyFill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41" fontId="64" fillId="0" borderId="6" xfId="3" applyNumberFormat="1" applyFont="1" applyFill="1" applyBorder="1" applyAlignment="1">
      <alignment horizontal="center"/>
    </xf>
    <xf numFmtId="41" fontId="64" fillId="0" borderId="5" xfId="3" applyNumberFormat="1" applyFont="1" applyBorder="1" applyAlignment="1">
      <alignment horizontal="center"/>
    </xf>
    <xf numFmtId="41" fontId="64" fillId="0" borderId="0" xfId="3" applyNumberFormat="1" applyFont="1" applyFill="1" applyBorder="1" applyAlignment="1">
      <alignment horizontal="center"/>
    </xf>
    <xf numFmtId="0" fontId="64" fillId="0" borderId="5" xfId="3" applyFont="1" applyFill="1" applyBorder="1" applyAlignment="1">
      <alignment horizontal="center"/>
    </xf>
  </cellXfs>
  <cellStyles count="393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65"/>
  <sheetViews>
    <sheetView showGridLines="0" tabSelected="1" zoomScale="110" zoomScaleNormal="110" workbookViewId="0">
      <selection sqref="A1:P1"/>
    </sheetView>
  </sheetViews>
  <sheetFormatPr defaultColWidth="9.140625" defaultRowHeight="12.75"/>
  <cols>
    <col min="1" max="1" width="2.5703125" style="1" customWidth="1"/>
    <col min="2" max="2" width="50.140625" style="4" customWidth="1"/>
    <col min="3" max="3" width="1.7109375" style="4" customWidth="1"/>
    <col min="4" max="4" width="5.7109375" style="4" customWidth="1"/>
    <col min="5" max="5" width="1.7109375" style="4" customWidth="1"/>
    <col min="6" max="6" width="13.42578125" style="1" bestFit="1" customWidth="1"/>
    <col min="7" max="7" width="1.140625" style="1" customWidth="1"/>
    <col min="8" max="8" width="13.42578125" style="1" bestFit="1" customWidth="1"/>
    <col min="9" max="9" width="1.7109375" style="4" customWidth="1"/>
    <col min="10" max="10" width="11.85546875" style="4" customWidth="1"/>
    <col min="11" max="11" width="1.7109375" style="4" customWidth="1"/>
    <col min="12" max="12" width="11.5703125" style="4" customWidth="1"/>
    <col min="13" max="13" width="2" style="4" customWidth="1"/>
    <col min="14" max="14" width="15.5703125" style="1" customWidth="1"/>
    <col min="15" max="15" width="3.5703125" style="1" customWidth="1"/>
    <col min="16" max="16" width="5.5703125" style="1" customWidth="1"/>
    <col min="17" max="17" width="7.140625" style="1" customWidth="1"/>
    <col min="18" max="18" width="13.42578125" style="1" bestFit="1" customWidth="1"/>
    <col min="19" max="19" width="7.85546875" style="1" customWidth="1"/>
    <col min="20" max="20" width="13.42578125" style="1" bestFit="1" customWidth="1"/>
    <col min="21" max="21" width="1.140625" style="1" customWidth="1"/>
    <col min="22" max="22" width="7.28515625" style="1" customWidth="1"/>
    <col min="23" max="23" width="8.7109375" style="1" customWidth="1"/>
    <col min="24" max="24" width="7" style="1" customWidth="1"/>
    <col min="25" max="26" width="9.140625" style="1" customWidth="1"/>
    <col min="27" max="16384" width="9.140625" style="1"/>
  </cols>
  <sheetData>
    <row r="1" spans="1:32" ht="18.75">
      <c r="A1" s="551" t="s">
        <v>230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110"/>
      <c r="R1" s="110"/>
      <c r="S1" s="110"/>
      <c r="T1" s="110"/>
      <c r="U1" s="110"/>
      <c r="V1" s="9"/>
      <c r="W1" s="8"/>
      <c r="X1" s="8"/>
      <c r="Y1" s="8"/>
      <c r="Z1" s="128"/>
      <c r="AA1" s="8"/>
      <c r="AB1" s="8"/>
      <c r="AC1" s="8"/>
    </row>
    <row r="2" spans="1:32" ht="11.25" customHeight="1" thickBot="1">
      <c r="A2" s="192"/>
      <c r="B2" s="192"/>
      <c r="C2" s="192"/>
      <c r="D2" s="192"/>
      <c r="E2" s="192"/>
      <c r="F2" s="206"/>
      <c r="G2" s="206"/>
      <c r="H2" s="207"/>
      <c r="I2" s="192"/>
      <c r="J2" s="192"/>
      <c r="K2" s="192"/>
      <c r="L2" s="192"/>
      <c r="M2" s="192"/>
      <c r="N2" s="206"/>
      <c r="O2" s="207"/>
      <c r="P2" s="207"/>
      <c r="Q2" s="87"/>
      <c r="R2" s="87"/>
      <c r="S2" s="112"/>
      <c r="T2" s="132"/>
      <c r="U2" s="87"/>
      <c r="V2" s="20"/>
      <c r="W2" s="8"/>
      <c r="X2" s="8"/>
      <c r="Y2" s="8"/>
      <c r="Z2" s="128"/>
      <c r="AA2" s="8"/>
      <c r="AB2" s="8"/>
      <c r="AC2" s="8"/>
    </row>
    <row r="3" spans="1:32" s="43" customFormat="1" ht="11.45" customHeight="1">
      <c r="A3" s="150"/>
      <c r="B3" s="150"/>
      <c r="C3" s="150"/>
      <c r="D3" s="150"/>
      <c r="E3" s="150"/>
      <c r="F3" s="552" t="s">
        <v>6</v>
      </c>
      <c r="G3" s="552"/>
      <c r="H3" s="552"/>
      <c r="I3" s="150"/>
      <c r="J3" s="552" t="s">
        <v>233</v>
      </c>
      <c r="K3" s="552"/>
      <c r="L3" s="552"/>
      <c r="M3" s="404"/>
      <c r="N3" s="552" t="s">
        <v>21</v>
      </c>
      <c r="O3" s="552"/>
      <c r="P3" s="162"/>
      <c r="Q3" s="47"/>
      <c r="R3" s="47"/>
      <c r="S3" s="46"/>
      <c r="T3" s="46"/>
      <c r="U3" s="47"/>
      <c r="V3" s="47"/>
      <c r="W3" s="98"/>
      <c r="X3" s="47"/>
    </row>
    <row r="4" spans="1:32" s="45" customFormat="1" ht="11.45" customHeight="1">
      <c r="A4" s="150"/>
      <c r="B4" s="150"/>
      <c r="C4" s="150"/>
      <c r="D4" s="163"/>
      <c r="E4" s="163"/>
      <c r="F4" s="553" t="s">
        <v>232</v>
      </c>
      <c r="G4" s="553"/>
      <c r="H4" s="553"/>
      <c r="I4" s="163"/>
      <c r="J4" s="553" t="s">
        <v>232</v>
      </c>
      <c r="K4" s="553"/>
      <c r="L4" s="553"/>
      <c r="M4" s="483"/>
      <c r="N4" s="553" t="s">
        <v>1</v>
      </c>
      <c r="O4" s="553"/>
      <c r="P4" s="164"/>
      <c r="Q4" s="137"/>
      <c r="R4" s="137"/>
      <c r="S4" s="46"/>
      <c r="T4" s="46"/>
      <c r="U4" s="115"/>
      <c r="V4" s="48"/>
      <c r="W4" s="48"/>
      <c r="X4" s="48"/>
    </row>
    <row r="5" spans="1:32" ht="11.45" customHeight="1" thickBot="1">
      <c r="A5" s="208" t="s">
        <v>106</v>
      </c>
      <c r="B5" s="194"/>
      <c r="C5" s="193"/>
      <c r="D5" s="194" t="s">
        <v>39</v>
      </c>
      <c r="E5" s="193"/>
      <c r="F5" s="195">
        <v>2016</v>
      </c>
      <c r="G5" s="193"/>
      <c r="H5" s="194">
        <v>2015</v>
      </c>
      <c r="I5" s="193"/>
      <c r="J5" s="195">
        <v>2016</v>
      </c>
      <c r="K5" s="193"/>
      <c r="L5" s="194">
        <v>2015</v>
      </c>
      <c r="M5" s="193"/>
      <c r="N5" s="194">
        <v>2015</v>
      </c>
      <c r="O5" s="193"/>
      <c r="P5" s="193"/>
      <c r="Q5" s="99"/>
      <c r="R5" s="99"/>
      <c r="S5" s="99"/>
      <c r="T5" s="99"/>
      <c r="U5" s="132"/>
      <c r="V5" s="7"/>
    </row>
    <row r="6" spans="1:32" ht="11.45" customHeight="1">
      <c r="A6" s="198"/>
      <c r="B6" s="193"/>
      <c r="C6" s="193"/>
      <c r="D6" s="193"/>
      <c r="E6" s="193"/>
      <c r="F6" s="196"/>
      <c r="G6" s="193"/>
      <c r="H6" s="209"/>
      <c r="I6" s="193"/>
      <c r="J6" s="193"/>
      <c r="K6" s="193"/>
      <c r="L6" s="193"/>
      <c r="M6" s="193"/>
      <c r="N6" s="209"/>
      <c r="O6" s="193"/>
      <c r="P6" s="193"/>
      <c r="Q6" s="99"/>
      <c r="R6" s="99"/>
      <c r="S6" s="99"/>
      <c r="T6" s="99"/>
      <c r="U6" s="132"/>
      <c r="V6" s="7"/>
      <c r="AA6" s="18"/>
      <c r="AB6" s="18"/>
      <c r="AC6" s="18"/>
      <c r="AD6" s="18"/>
    </row>
    <row r="7" spans="1:32" ht="11.45" customHeight="1">
      <c r="A7" s="285" t="s">
        <v>17</v>
      </c>
      <c r="B7" s="285"/>
      <c r="C7" s="185"/>
      <c r="D7" s="304">
        <v>1</v>
      </c>
      <c r="E7" s="185"/>
      <c r="F7" s="430">
        <f>Notes!F9</f>
        <v>224.05600000000001</v>
      </c>
      <c r="G7" s="159"/>
      <c r="H7" s="202">
        <v>225.7</v>
      </c>
      <c r="I7" s="188"/>
      <c r="J7" s="431">
        <f>Notes!J9</f>
        <v>610.15600000000006</v>
      </c>
      <c r="K7" s="185"/>
      <c r="L7" s="418">
        <v>732.6</v>
      </c>
      <c r="M7" s="185"/>
      <c r="N7" s="202">
        <v>961.9</v>
      </c>
      <c r="O7" s="174"/>
      <c r="P7" s="159"/>
      <c r="Q7" s="99"/>
      <c r="R7" s="99"/>
      <c r="S7" s="99"/>
      <c r="T7" s="99"/>
      <c r="U7" s="99"/>
      <c r="V7" s="12"/>
      <c r="W7" s="7"/>
      <c r="X7" s="7"/>
      <c r="AA7" s="99"/>
      <c r="AB7" s="133"/>
      <c r="AC7" s="18"/>
      <c r="AD7" s="18"/>
    </row>
    <row r="8" spans="1:32" ht="11.45" customHeight="1">
      <c r="A8" s="185"/>
      <c r="B8" s="185"/>
      <c r="C8" s="185"/>
      <c r="D8" s="304"/>
      <c r="E8" s="185"/>
      <c r="F8" s="368"/>
      <c r="G8" s="159"/>
      <c r="H8" s="159"/>
      <c r="I8" s="188"/>
      <c r="J8" s="420"/>
      <c r="K8" s="185"/>
      <c r="L8" s="416"/>
      <c r="M8" s="185"/>
      <c r="N8" s="159"/>
      <c r="O8" s="174"/>
      <c r="P8" s="159"/>
      <c r="Q8" s="99"/>
      <c r="R8" s="99"/>
      <c r="S8" s="99"/>
      <c r="T8" s="99"/>
      <c r="U8" s="99"/>
      <c r="V8" s="12"/>
      <c r="W8" s="7"/>
      <c r="X8" s="7"/>
      <c r="AA8" s="99"/>
      <c r="AB8" s="133"/>
      <c r="AC8" s="18"/>
      <c r="AD8" s="18"/>
    </row>
    <row r="9" spans="1:32" ht="11.45" customHeight="1">
      <c r="A9" s="173" t="s">
        <v>40</v>
      </c>
      <c r="B9" s="173"/>
      <c r="C9" s="185"/>
      <c r="D9" s="305">
        <v>2</v>
      </c>
      <c r="E9" s="185"/>
      <c r="F9" s="366">
        <f>Notes!F55+Notes!F59</f>
        <v>99.799999999999983</v>
      </c>
      <c r="G9" s="159"/>
      <c r="H9" s="158">
        <v>95.7</v>
      </c>
      <c r="I9" s="188"/>
      <c r="J9" s="420">
        <f>Notes!J55+Notes!J59</f>
        <v>306.70000000000005</v>
      </c>
      <c r="K9" s="185"/>
      <c r="L9" s="416">
        <v>317.8</v>
      </c>
      <c r="M9" s="185"/>
      <c r="N9" s="158">
        <v>413.1</v>
      </c>
      <c r="O9" s="174"/>
      <c r="P9" s="176"/>
      <c r="Q9" s="99"/>
      <c r="R9" s="99"/>
      <c r="S9" s="99"/>
      <c r="T9" s="99"/>
      <c r="U9" s="99"/>
      <c r="V9" s="28"/>
      <c r="W9" s="7"/>
      <c r="X9" s="7"/>
      <c r="AA9" s="99"/>
      <c r="AB9" s="133"/>
      <c r="AC9" s="18"/>
      <c r="AD9" s="18"/>
    </row>
    <row r="10" spans="1:32" ht="11.45" customHeight="1">
      <c r="A10" s="173" t="s">
        <v>41</v>
      </c>
      <c r="B10" s="173"/>
      <c r="C10" s="185"/>
      <c r="D10" s="306">
        <v>2</v>
      </c>
      <c r="E10" s="185"/>
      <c r="F10" s="366">
        <f>Notes!F56+Notes!F60</f>
        <v>3.7429999999999999</v>
      </c>
      <c r="G10" s="158"/>
      <c r="H10" s="158">
        <v>4.3</v>
      </c>
      <c r="I10" s="188"/>
      <c r="J10" s="420">
        <f>Notes!J56+Notes!J60</f>
        <v>14.243</v>
      </c>
      <c r="K10" s="185"/>
      <c r="L10" s="416">
        <v>15.3</v>
      </c>
      <c r="M10" s="185"/>
      <c r="N10" s="158">
        <v>20.3</v>
      </c>
      <c r="O10" s="176"/>
      <c r="P10" s="176"/>
      <c r="Q10" s="99"/>
      <c r="R10" s="99"/>
      <c r="S10" s="99"/>
      <c r="T10" s="99"/>
      <c r="U10" s="99"/>
      <c r="V10" s="113"/>
      <c r="W10" s="7"/>
      <c r="X10" s="7"/>
      <c r="Y10" s="40"/>
      <c r="AA10" s="99"/>
      <c r="AB10" s="133"/>
      <c r="AC10" s="18"/>
      <c r="AD10" s="18"/>
      <c r="AE10" s="1" t="s">
        <v>36</v>
      </c>
    </row>
    <row r="11" spans="1:32" ht="11.45" customHeight="1">
      <c r="A11" s="185" t="s">
        <v>42</v>
      </c>
      <c r="B11" s="185"/>
      <c r="C11" s="185"/>
      <c r="D11" s="282">
        <v>2</v>
      </c>
      <c r="E11" s="185"/>
      <c r="F11" s="366">
        <f>+Notes!F57</f>
        <v>7.7779999999999996</v>
      </c>
      <c r="G11" s="159"/>
      <c r="H11" s="158">
        <v>10.5</v>
      </c>
      <c r="I11" s="188"/>
      <c r="J11" s="420">
        <f>Notes!J57</f>
        <v>28.977999999999998</v>
      </c>
      <c r="K11" s="185"/>
      <c r="L11" s="416">
        <v>31.6</v>
      </c>
      <c r="M11" s="185"/>
      <c r="N11" s="158">
        <v>44.1</v>
      </c>
      <c r="O11" s="174"/>
      <c r="P11" s="174"/>
      <c r="Q11" s="99"/>
      <c r="R11" s="99"/>
      <c r="S11" s="99"/>
      <c r="T11" s="99"/>
      <c r="U11" s="99"/>
      <c r="V11" s="114"/>
      <c r="W11" s="7"/>
      <c r="X11" s="7"/>
      <c r="AA11" s="99"/>
      <c r="AB11" s="133"/>
      <c r="AC11" s="18"/>
      <c r="AD11" s="18"/>
    </row>
    <row r="12" spans="1:32" ht="11.45" customHeight="1">
      <c r="A12" s="173" t="s">
        <v>5</v>
      </c>
      <c r="B12" s="173"/>
      <c r="C12" s="185"/>
      <c r="D12" s="306">
        <v>3</v>
      </c>
      <c r="E12" s="185"/>
      <c r="F12" s="158">
        <f>Notes!F71+Notes!F72+Notes!F73+Notes!F74</f>
        <v>118.121</v>
      </c>
      <c r="G12" s="158"/>
      <c r="H12" s="158">
        <v>106.1</v>
      </c>
      <c r="I12" s="188"/>
      <c r="J12" s="420">
        <f>Notes!J71+Notes!J72+Notes!J73+Notes!J74</f>
        <v>332.12100000000004</v>
      </c>
      <c r="K12" s="185"/>
      <c r="L12" s="416">
        <v>329.2</v>
      </c>
      <c r="M12" s="185"/>
      <c r="N12" s="158">
        <v>468.5</v>
      </c>
      <c r="O12" s="176"/>
      <c r="P12" s="176"/>
      <c r="Q12" s="99"/>
      <c r="R12" s="99"/>
      <c r="S12" s="99"/>
      <c r="T12" s="99"/>
      <c r="U12" s="99"/>
      <c r="V12" s="113"/>
      <c r="W12" s="7"/>
      <c r="X12" s="7"/>
      <c r="AA12" s="99"/>
      <c r="AB12" s="133"/>
      <c r="AC12" s="18"/>
      <c r="AD12" s="18"/>
    </row>
    <row r="13" spans="1:32" ht="11.45" customHeight="1">
      <c r="A13" s="173" t="s">
        <v>191</v>
      </c>
      <c r="B13" s="173"/>
      <c r="C13" s="185"/>
      <c r="D13" s="306">
        <v>3</v>
      </c>
      <c r="E13" s="185"/>
      <c r="F13" s="366">
        <f>+Notes!F76</f>
        <v>9.1765000000000008</v>
      </c>
      <c r="G13" s="158"/>
      <c r="H13" s="158">
        <v>65.3</v>
      </c>
      <c r="I13" s="188"/>
      <c r="J13" s="420">
        <f>Notes!J76</f>
        <v>13.3765</v>
      </c>
      <c r="K13" s="185"/>
      <c r="L13" s="416">
        <v>122.3</v>
      </c>
      <c r="M13" s="185"/>
      <c r="N13" s="158">
        <v>397.2</v>
      </c>
      <c r="O13" s="176"/>
      <c r="P13" s="176"/>
      <c r="Q13" s="99"/>
      <c r="R13" s="99"/>
      <c r="S13" s="99"/>
      <c r="T13" s="99"/>
      <c r="U13" s="99"/>
      <c r="V13" s="113"/>
      <c r="W13" s="7"/>
      <c r="X13" s="7"/>
      <c r="Y13" s="37"/>
      <c r="AA13" s="99"/>
      <c r="AB13" s="133"/>
      <c r="AC13" s="18"/>
      <c r="AD13" s="18"/>
    </row>
    <row r="14" spans="1:32" ht="11.45" customHeight="1">
      <c r="A14" s="173" t="s">
        <v>192</v>
      </c>
      <c r="B14" s="173"/>
      <c r="C14" s="185"/>
      <c r="D14" s="306">
        <v>3</v>
      </c>
      <c r="E14" s="185"/>
      <c r="F14" s="366">
        <f>Notes!F77</f>
        <v>-3.085</v>
      </c>
      <c r="G14" s="158"/>
      <c r="H14" s="158">
        <v>6.5</v>
      </c>
      <c r="I14" s="188"/>
      <c r="J14" s="431">
        <f>Notes!J77</f>
        <v>2.5149999999999997</v>
      </c>
      <c r="K14" s="185"/>
      <c r="L14" s="418">
        <v>13.9</v>
      </c>
      <c r="M14" s="185"/>
      <c r="N14" s="202">
        <v>49</v>
      </c>
      <c r="O14" s="176"/>
      <c r="P14" s="176"/>
      <c r="Q14" s="421"/>
      <c r="R14" s="421"/>
      <c r="S14" s="99"/>
      <c r="T14" s="99"/>
      <c r="U14" s="99"/>
      <c r="V14" s="99"/>
      <c r="W14" s="99"/>
      <c r="X14" s="99">
        <f>Q7-Q9-Q10-Q11</f>
        <v>0</v>
      </c>
      <c r="Y14" s="37"/>
      <c r="AA14" s="99"/>
      <c r="AB14" s="133"/>
      <c r="AC14" s="18"/>
      <c r="AD14" s="18"/>
    </row>
    <row r="15" spans="1:32" ht="11.45" customHeight="1">
      <c r="A15" s="182"/>
      <c r="B15" s="182" t="s">
        <v>22</v>
      </c>
      <c r="C15" s="185"/>
      <c r="D15" s="282"/>
      <c r="E15" s="185"/>
      <c r="F15" s="364">
        <f>SUM(F9:F14)</f>
        <v>235.53349999999998</v>
      </c>
      <c r="G15" s="159"/>
      <c r="H15" s="184">
        <f>SUM(H9:H14)</f>
        <v>288.39999999999998</v>
      </c>
      <c r="I15" s="188"/>
      <c r="J15" s="184">
        <f>SUM(J9:J14)</f>
        <v>697.93350000000009</v>
      </c>
      <c r="K15" s="185"/>
      <c r="L15" s="419">
        <f>SUM(L9:L14)-0.1</f>
        <v>830</v>
      </c>
      <c r="M15" s="185"/>
      <c r="N15" s="184">
        <f>SUM(N9:N14)+0.1</f>
        <v>1392.3</v>
      </c>
      <c r="O15" s="174"/>
      <c r="P15" s="174"/>
      <c r="Q15" s="99"/>
      <c r="R15" s="99"/>
      <c r="S15" s="99"/>
      <c r="T15" s="99"/>
      <c r="U15" s="99"/>
      <c r="V15" s="114"/>
      <c r="W15" s="7"/>
      <c r="X15" s="7"/>
      <c r="Y15" s="17"/>
      <c r="Z15" s="17"/>
      <c r="AA15" s="99"/>
      <c r="AB15" s="133"/>
      <c r="AC15" s="18"/>
      <c r="AD15" s="18"/>
      <c r="AE15" s="17"/>
      <c r="AF15" s="17"/>
    </row>
    <row r="16" spans="1:32" ht="11.45" customHeight="1">
      <c r="A16" s="200"/>
      <c r="B16" s="185" t="s">
        <v>222</v>
      </c>
      <c r="C16" s="185"/>
      <c r="D16" s="304" t="s">
        <v>0</v>
      </c>
      <c r="E16" s="185"/>
      <c r="F16" s="368">
        <f>F7-F15</f>
        <v>-11.477499999999964</v>
      </c>
      <c r="G16" s="159"/>
      <c r="H16" s="368">
        <f>H7-H15</f>
        <v>-62.699999999999989</v>
      </c>
      <c r="I16" s="188"/>
      <c r="J16" s="420">
        <f>J7-J15</f>
        <v>-87.777500000000032</v>
      </c>
      <c r="K16" s="185"/>
      <c r="L16" s="368">
        <f>L7-L15-0.1</f>
        <v>-97.499999999999972</v>
      </c>
      <c r="M16" s="185"/>
      <c r="N16" s="159">
        <f>N7-N15</f>
        <v>-430.4</v>
      </c>
      <c r="O16" s="174"/>
      <c r="P16" s="159"/>
      <c r="Q16" s="99"/>
      <c r="R16" s="99" t="s">
        <v>0</v>
      </c>
      <c r="S16" s="99"/>
      <c r="T16" s="99"/>
      <c r="U16" s="99"/>
      <c r="V16" s="114"/>
      <c r="W16" s="7"/>
      <c r="X16" s="7"/>
      <c r="Y16" s="17"/>
      <c r="Z16" s="17"/>
      <c r="AA16" s="99"/>
      <c r="AB16" s="133"/>
      <c r="AC16" s="18"/>
      <c r="AD16" s="18"/>
      <c r="AE16" s="17"/>
      <c r="AF16" s="17"/>
    </row>
    <row r="17" spans="1:32" ht="11.45" customHeight="1">
      <c r="A17" s="188" t="s">
        <v>196</v>
      </c>
      <c r="B17" s="188"/>
      <c r="C17" s="185"/>
      <c r="D17" s="304">
        <v>4</v>
      </c>
      <c r="E17" s="185"/>
      <c r="F17" s="368">
        <v>2.391</v>
      </c>
      <c r="G17" s="159"/>
      <c r="H17" s="159">
        <v>0.8</v>
      </c>
      <c r="I17" s="188"/>
      <c r="J17" s="420">
        <f>-26.308+F17</f>
        <v>-23.917000000000002</v>
      </c>
      <c r="K17" s="185"/>
      <c r="L17" s="416">
        <v>-9.1999999999999993</v>
      </c>
      <c r="M17" s="185"/>
      <c r="N17" s="159">
        <v>-16.100000000000001</v>
      </c>
      <c r="O17" s="174"/>
      <c r="P17" s="159"/>
      <c r="Q17" s="99"/>
      <c r="R17" s="99"/>
      <c r="S17" s="99"/>
      <c r="T17" s="99"/>
      <c r="U17" s="99"/>
      <c r="V17" s="114"/>
      <c r="W17" s="7"/>
      <c r="X17" s="7"/>
      <c r="Y17" s="17"/>
      <c r="Z17" s="17"/>
      <c r="AA17" s="99"/>
      <c r="AB17" s="133"/>
      <c r="AC17" s="18"/>
      <c r="AD17" s="18"/>
      <c r="AE17" s="17"/>
      <c r="AF17" s="17"/>
    </row>
    <row r="18" spans="1:32" ht="11.45" customHeight="1">
      <c r="A18" s="185" t="s">
        <v>13</v>
      </c>
      <c r="B18" s="185"/>
      <c r="C18" s="185"/>
      <c r="D18" s="304">
        <v>5</v>
      </c>
      <c r="E18" s="185"/>
      <c r="F18" s="368">
        <f>Notes!F106</f>
        <v>-13.925999999999998</v>
      </c>
      <c r="G18" s="159"/>
      <c r="H18" s="159">
        <v>-6.9</v>
      </c>
      <c r="I18" s="188"/>
      <c r="J18" s="420">
        <f>Notes!J106</f>
        <v>-31.725999999999999</v>
      </c>
      <c r="K18" s="185"/>
      <c r="L18" s="416">
        <v>-22.2</v>
      </c>
      <c r="M18" s="185"/>
      <c r="N18" s="159">
        <v>-29.5</v>
      </c>
      <c r="O18" s="174"/>
      <c r="P18" s="159"/>
      <c r="Q18" s="102"/>
      <c r="R18" s="102"/>
      <c r="S18" s="102"/>
      <c r="T18" s="102"/>
      <c r="U18" s="99"/>
      <c r="V18" s="114"/>
      <c r="W18" s="7"/>
      <c r="X18" s="7"/>
      <c r="Y18" s="17"/>
      <c r="Z18" s="17"/>
      <c r="AA18" s="99"/>
      <c r="AB18" s="133"/>
      <c r="AC18" s="18"/>
      <c r="AD18" s="18"/>
      <c r="AE18" s="17"/>
      <c r="AF18" s="17"/>
    </row>
    <row r="19" spans="1:32" ht="11.45" customHeight="1">
      <c r="A19" s="285" t="s">
        <v>113</v>
      </c>
      <c r="B19" s="285"/>
      <c r="C19" s="185"/>
      <c r="D19" s="304">
        <v>6</v>
      </c>
      <c r="E19" s="185"/>
      <c r="F19" s="430">
        <f>Notes!F119</f>
        <v>-1.1970000000000001</v>
      </c>
      <c r="G19" s="159"/>
      <c r="H19" s="202">
        <v>-11.7</v>
      </c>
      <c r="I19" s="188"/>
      <c r="J19" s="431">
        <f>Notes!J119</f>
        <v>-0.49700000000000077</v>
      </c>
      <c r="K19" s="185"/>
      <c r="L19" s="418">
        <v>-19.5</v>
      </c>
      <c r="M19" s="185"/>
      <c r="N19" s="202">
        <v>-29.6</v>
      </c>
      <c r="O19" s="174"/>
      <c r="P19" s="159"/>
      <c r="Q19" s="105"/>
      <c r="R19" s="105"/>
      <c r="S19" s="105"/>
      <c r="T19" s="105"/>
      <c r="U19" s="99"/>
      <c r="V19" s="114"/>
      <c r="W19" s="7"/>
      <c r="X19" s="7"/>
      <c r="Y19" s="17"/>
      <c r="Z19" s="17"/>
      <c r="AA19" s="99"/>
      <c r="AB19" s="133"/>
      <c r="AC19" s="18"/>
      <c r="AD19" s="18"/>
      <c r="AE19" s="17"/>
      <c r="AF19" s="17"/>
    </row>
    <row r="20" spans="1:32" ht="11.45" customHeight="1">
      <c r="A20" s="173" t="s">
        <v>0</v>
      </c>
      <c r="B20" s="173" t="s">
        <v>221</v>
      </c>
      <c r="C20" s="185"/>
      <c r="D20" s="307"/>
      <c r="E20" s="185"/>
      <c r="F20" s="366">
        <f>SUM(F16:F19)</f>
        <v>-24.209499999999959</v>
      </c>
      <c r="G20" s="159"/>
      <c r="H20" s="159">
        <f>SUM(H16:H19)</f>
        <v>-80.5</v>
      </c>
      <c r="I20" s="188"/>
      <c r="J20" s="159">
        <f>SUM(J16:J19)</f>
        <v>-143.91750000000005</v>
      </c>
      <c r="K20" s="185"/>
      <c r="L20" s="416">
        <f>SUM(L16:L19)</f>
        <v>-148.39999999999998</v>
      </c>
      <c r="M20" s="185"/>
      <c r="N20" s="159">
        <f>SUM(N16:N19)+0.1</f>
        <v>-505.5</v>
      </c>
      <c r="O20" s="174"/>
      <c r="P20" s="176"/>
      <c r="Q20" s="100"/>
      <c r="R20" s="100"/>
      <c r="S20" s="100"/>
      <c r="T20" s="100"/>
      <c r="U20" s="99"/>
      <c r="V20" s="28"/>
      <c r="X20" s="99"/>
      <c r="Y20" s="133"/>
      <c r="Z20" s="18"/>
      <c r="AA20" s="18"/>
    </row>
    <row r="21" spans="1:32" ht="11.45" customHeight="1">
      <c r="A21" s="285" t="s">
        <v>218</v>
      </c>
      <c r="B21" s="285"/>
      <c r="C21" s="185"/>
      <c r="D21" s="282">
        <v>7</v>
      </c>
      <c r="E21" s="185"/>
      <c r="F21" s="366">
        <f>+Notes!F131</f>
        <v>4.8260532400000002</v>
      </c>
      <c r="G21" s="159"/>
      <c r="H21" s="158">
        <v>29.5</v>
      </c>
      <c r="I21" s="188"/>
      <c r="J21" s="431">
        <f>-11+F21</f>
        <v>-6.1739467599999998</v>
      </c>
      <c r="K21" s="185"/>
      <c r="L21" s="418">
        <v>44.9</v>
      </c>
      <c r="M21" s="185"/>
      <c r="N21" s="202">
        <v>22.4</v>
      </c>
      <c r="O21" s="174"/>
      <c r="P21" s="159"/>
      <c r="Q21" s="105"/>
      <c r="R21" s="105"/>
      <c r="S21" s="105"/>
      <c r="T21" s="105"/>
      <c r="U21" s="99"/>
      <c r="V21" s="28"/>
      <c r="X21" s="102"/>
      <c r="Y21" s="133"/>
      <c r="Z21" s="18"/>
      <c r="AA21" s="18"/>
    </row>
    <row r="22" spans="1:32" ht="11.45" customHeight="1" thickBot="1">
      <c r="A22" s="308"/>
      <c r="B22" s="308" t="s">
        <v>180</v>
      </c>
      <c r="C22" s="183"/>
      <c r="D22" s="210"/>
      <c r="E22" s="183"/>
      <c r="F22" s="363">
        <f>+F20-F21</f>
        <v>-29.03555323999996</v>
      </c>
      <c r="G22" s="211"/>
      <c r="H22" s="190">
        <f>+H20-H21</f>
        <v>-110</v>
      </c>
      <c r="I22" s="183"/>
      <c r="J22" s="190">
        <f>+J20-J21</f>
        <v>-137.74355324000004</v>
      </c>
      <c r="K22" s="183"/>
      <c r="L22" s="190">
        <f>+L20-L21</f>
        <v>-193.29999999999998</v>
      </c>
      <c r="M22" s="183"/>
      <c r="N22" s="190">
        <f>+N20-N21</f>
        <v>-527.9</v>
      </c>
      <c r="O22" s="211"/>
      <c r="P22" s="157"/>
      <c r="Q22" s="88"/>
      <c r="R22" s="392" t="s">
        <v>0</v>
      </c>
      <c r="S22" s="88"/>
      <c r="T22" s="88" t="s">
        <v>0</v>
      </c>
      <c r="U22" s="102"/>
      <c r="V22" s="23"/>
      <c r="W22" s="7"/>
      <c r="X22" s="7"/>
      <c r="AB22" s="38"/>
      <c r="AD22" s="42"/>
    </row>
    <row r="23" spans="1:32" s="3" customFormat="1" ht="11.45" customHeight="1">
      <c r="A23" s="183"/>
      <c r="B23" s="183"/>
      <c r="C23" s="183"/>
      <c r="D23" s="210"/>
      <c r="E23" s="183"/>
      <c r="F23" s="367"/>
      <c r="G23" s="211"/>
      <c r="H23" s="157"/>
      <c r="I23" s="183"/>
      <c r="J23" s="417"/>
      <c r="K23" s="183"/>
      <c r="L23" s="417"/>
      <c r="M23" s="183"/>
      <c r="N23" s="157"/>
      <c r="O23" s="211"/>
      <c r="P23" s="157"/>
      <c r="Q23" s="88"/>
      <c r="R23" s="88"/>
      <c r="S23" s="88"/>
      <c r="T23" s="88"/>
      <c r="U23" s="105"/>
      <c r="V23" s="23"/>
      <c r="AB23" s="39"/>
    </row>
    <row r="24" spans="1:32" ht="11.45" customHeight="1">
      <c r="A24" s="186" t="s">
        <v>120</v>
      </c>
      <c r="B24" s="173"/>
      <c r="C24" s="185"/>
      <c r="D24" s="306"/>
      <c r="E24" s="185"/>
      <c r="F24" s="366"/>
      <c r="G24" s="176"/>
      <c r="H24" s="158"/>
      <c r="I24" s="185"/>
      <c r="J24" s="416"/>
      <c r="K24" s="185"/>
      <c r="L24" s="416"/>
      <c r="M24" s="185"/>
      <c r="N24" s="158"/>
      <c r="O24" s="176"/>
      <c r="P24" s="176"/>
      <c r="Q24" s="99"/>
      <c r="R24" s="99"/>
      <c r="S24" s="99"/>
      <c r="T24" s="99"/>
      <c r="U24" s="99"/>
      <c r="V24" s="113"/>
      <c r="W24" s="7"/>
      <c r="X24" s="7"/>
      <c r="AA24" s="99"/>
      <c r="AB24" s="133"/>
      <c r="AC24" s="18"/>
      <c r="AD24" s="18"/>
    </row>
    <row r="25" spans="1:32" ht="11.45" customHeight="1">
      <c r="A25" s="173"/>
      <c r="B25" s="173" t="s">
        <v>134</v>
      </c>
      <c r="C25" s="185"/>
      <c r="D25" s="306">
        <v>12</v>
      </c>
      <c r="E25" s="185"/>
      <c r="F25" s="365">
        <f>Notes!F245</f>
        <v>-36.700000000000003</v>
      </c>
      <c r="G25" s="176"/>
      <c r="H25" s="158">
        <v>1.6</v>
      </c>
      <c r="I25" s="185"/>
      <c r="J25" s="416">
        <f>Notes!J245</f>
        <v>-46.1</v>
      </c>
      <c r="K25" s="185"/>
      <c r="L25" s="416">
        <v>-0.8</v>
      </c>
      <c r="M25" s="185"/>
      <c r="N25" s="158">
        <v>1.3</v>
      </c>
      <c r="O25" s="176"/>
      <c r="P25" s="176"/>
      <c r="Q25" s="99"/>
      <c r="R25" s="99"/>
      <c r="S25" s="99"/>
      <c r="T25" s="99"/>
      <c r="U25" s="99"/>
      <c r="V25" s="113"/>
      <c r="W25" s="7"/>
      <c r="X25" s="7"/>
      <c r="AA25" s="99"/>
      <c r="AB25" s="133"/>
      <c r="AC25" s="18"/>
      <c r="AD25" s="18"/>
    </row>
    <row r="26" spans="1:32" ht="11.45" customHeight="1">
      <c r="A26" s="173"/>
      <c r="B26" s="173" t="s">
        <v>172</v>
      </c>
      <c r="C26" s="185"/>
      <c r="D26" s="306">
        <v>12</v>
      </c>
      <c r="E26" s="185"/>
      <c r="F26" s="365">
        <f>Notes!F255</f>
        <v>-0.19999999999999996</v>
      </c>
      <c r="G26" s="176"/>
      <c r="H26" s="158">
        <v>-0.3</v>
      </c>
      <c r="I26" s="185"/>
      <c r="J26" s="416">
        <f>Notes!J255</f>
        <v>1.0999999999999999</v>
      </c>
      <c r="K26" s="185"/>
      <c r="L26" s="416">
        <v>0.4</v>
      </c>
      <c r="M26" s="185"/>
      <c r="N26" s="158">
        <v>-2.4</v>
      </c>
      <c r="O26" s="176"/>
      <c r="P26" s="176"/>
      <c r="Q26" s="99"/>
      <c r="R26" s="99"/>
      <c r="S26" s="99"/>
      <c r="T26" s="99"/>
      <c r="U26" s="99"/>
      <c r="V26" s="113"/>
      <c r="W26" s="7"/>
      <c r="X26" s="7"/>
      <c r="AA26" s="99"/>
      <c r="AB26" s="133"/>
      <c r="AC26" s="18"/>
      <c r="AD26" s="18"/>
    </row>
    <row r="27" spans="1:32" ht="11.45" customHeight="1">
      <c r="A27" s="181" t="s">
        <v>135</v>
      </c>
      <c r="B27" s="182"/>
      <c r="C27" s="185"/>
      <c r="D27" s="306"/>
      <c r="E27" s="185"/>
      <c r="F27" s="364">
        <f>SUM(F25:F26)</f>
        <v>-36.900000000000006</v>
      </c>
      <c r="G27" s="176"/>
      <c r="H27" s="184">
        <f>SUM(H25:H26)</f>
        <v>1.3</v>
      </c>
      <c r="I27" s="185"/>
      <c r="J27" s="184">
        <f>SUM(J25:J26)</f>
        <v>-45</v>
      </c>
      <c r="K27" s="185"/>
      <c r="L27" s="419">
        <f>SUM(L25:L26)</f>
        <v>-0.4</v>
      </c>
      <c r="M27" s="185"/>
      <c r="N27" s="184">
        <f>SUM(N25:N26)</f>
        <v>-1.0999999999999999</v>
      </c>
      <c r="O27" s="176"/>
      <c r="P27" s="176"/>
      <c r="Q27" s="99"/>
      <c r="R27" s="99"/>
      <c r="S27" s="99"/>
      <c r="T27" s="99"/>
      <c r="U27" s="99"/>
      <c r="V27" s="113"/>
      <c r="W27" s="7"/>
      <c r="X27" s="7"/>
      <c r="AA27" s="99"/>
      <c r="AB27" s="133"/>
      <c r="AC27" s="18"/>
      <c r="AD27" s="18"/>
    </row>
    <row r="28" spans="1:32" ht="11.45" customHeight="1" thickBot="1">
      <c r="A28" s="308" t="s">
        <v>95</v>
      </c>
      <c r="B28" s="308"/>
      <c r="C28" s="183"/>
      <c r="D28" s="210"/>
      <c r="E28" s="183"/>
      <c r="F28" s="363">
        <f>F22+F27</f>
        <v>-65.935553239999962</v>
      </c>
      <c r="G28" s="211"/>
      <c r="H28" s="190">
        <f>H22+H27</f>
        <v>-108.7</v>
      </c>
      <c r="I28" s="183"/>
      <c r="J28" s="190">
        <f>J22+J27</f>
        <v>-182.74355324000004</v>
      </c>
      <c r="K28" s="183"/>
      <c r="L28" s="190">
        <f>L22+L27</f>
        <v>-193.7</v>
      </c>
      <c r="M28" s="183"/>
      <c r="N28" s="190">
        <f>N22+N27</f>
        <v>-529</v>
      </c>
      <c r="O28" s="211"/>
      <c r="P28" s="157"/>
      <c r="Q28" s="99"/>
      <c r="R28" s="99"/>
      <c r="S28" s="99"/>
      <c r="T28" s="99"/>
      <c r="U28" s="99"/>
      <c r="V28" s="113"/>
      <c r="W28" s="7"/>
      <c r="X28" s="7"/>
      <c r="AA28" s="99"/>
      <c r="AB28" s="133"/>
      <c r="AC28" s="18"/>
      <c r="AD28" s="18"/>
    </row>
    <row r="29" spans="1:32" s="3" customFormat="1">
      <c r="A29" s="41"/>
      <c r="B29" s="14"/>
      <c r="C29" s="14"/>
      <c r="D29" s="33"/>
      <c r="E29" s="14"/>
      <c r="F29" s="122"/>
      <c r="G29" s="89"/>
      <c r="H29" s="29"/>
      <c r="I29" s="14"/>
      <c r="J29" s="14"/>
      <c r="K29" s="14"/>
      <c r="L29" s="14"/>
      <c r="M29" s="14"/>
      <c r="N29" s="89"/>
      <c r="O29" s="29"/>
      <c r="P29" s="29"/>
      <c r="Q29" s="21"/>
      <c r="R29" s="21"/>
      <c r="S29" s="21"/>
      <c r="T29" s="21"/>
      <c r="U29" s="88"/>
      <c r="V29" s="23"/>
      <c r="AB29" s="39"/>
    </row>
    <row r="30" spans="1:32" s="3" customFormat="1" ht="13.5" customHeight="1">
      <c r="A30" s="41"/>
      <c r="B30" s="14"/>
      <c r="C30" s="14"/>
      <c r="D30" s="33"/>
      <c r="E30" s="14"/>
      <c r="F30" s="122"/>
      <c r="G30" s="89"/>
      <c r="H30" s="29"/>
      <c r="I30" s="14"/>
      <c r="J30" s="14"/>
      <c r="K30" s="14"/>
      <c r="L30" s="14"/>
      <c r="M30" s="14"/>
      <c r="N30" s="89"/>
      <c r="O30" s="29"/>
      <c r="P30" s="29"/>
      <c r="Q30" s="21"/>
      <c r="R30" s="21"/>
      <c r="S30" s="21"/>
      <c r="T30" s="21"/>
      <c r="U30" s="88"/>
      <c r="V30" s="23"/>
      <c r="AB30" s="39"/>
    </row>
    <row r="31" spans="1:32" s="3" customFormat="1">
      <c r="A31" s="14"/>
      <c r="B31" s="14"/>
      <c r="C31" s="16"/>
      <c r="D31" s="33"/>
      <c r="E31" s="16"/>
      <c r="F31" s="15"/>
      <c r="G31" s="15"/>
      <c r="H31" s="15"/>
      <c r="I31" s="16"/>
      <c r="J31" s="16"/>
      <c r="K31" s="16"/>
      <c r="L31" s="16"/>
      <c r="M31" s="16"/>
      <c r="N31" s="15"/>
      <c r="O31" s="15"/>
      <c r="P31" s="15"/>
      <c r="Q31" s="15"/>
      <c r="R31" s="15"/>
      <c r="S31" s="15"/>
      <c r="T31" s="15"/>
      <c r="U31" s="15"/>
      <c r="V31" s="15"/>
    </row>
    <row r="32" spans="1:32" s="3" customFormat="1">
      <c r="A32" s="14"/>
      <c r="B32" s="14"/>
      <c r="C32" s="16"/>
      <c r="D32" s="33"/>
      <c r="E32" s="16"/>
      <c r="F32" s="15"/>
      <c r="G32" s="15"/>
      <c r="H32" s="15"/>
      <c r="I32" s="16"/>
      <c r="J32" s="16"/>
      <c r="K32" s="16"/>
      <c r="L32" s="16"/>
      <c r="M32" s="16"/>
      <c r="N32" s="15"/>
      <c r="O32" s="15"/>
      <c r="P32" s="15"/>
      <c r="Q32" s="15"/>
      <c r="R32" s="15"/>
      <c r="S32" s="15"/>
      <c r="T32" s="15"/>
      <c r="U32" s="15"/>
      <c r="V32" s="15"/>
    </row>
    <row r="33" spans="1:25" s="3" customFormat="1">
      <c r="A33" s="14"/>
      <c r="B33" s="14"/>
      <c r="C33" s="16"/>
      <c r="D33" s="33"/>
      <c r="E33" s="16"/>
      <c r="F33" s="15"/>
      <c r="G33" s="15"/>
      <c r="H33" s="15"/>
      <c r="I33" s="16"/>
      <c r="J33" s="16"/>
      <c r="K33" s="16"/>
      <c r="L33" s="16"/>
      <c r="M33" s="16"/>
      <c r="N33" s="15"/>
      <c r="O33" s="15"/>
      <c r="P33" s="15"/>
      <c r="Q33" s="15"/>
      <c r="R33" s="15"/>
      <c r="S33" s="15"/>
      <c r="T33" s="15"/>
      <c r="U33" s="15"/>
      <c r="V33" s="15"/>
    </row>
    <row r="34" spans="1:25" s="3" customFormat="1">
      <c r="A34" s="14"/>
      <c r="B34" s="14"/>
      <c r="C34" s="16"/>
      <c r="D34" s="33"/>
      <c r="E34" s="16"/>
      <c r="F34" s="15"/>
      <c r="G34" s="15"/>
      <c r="H34" s="15"/>
      <c r="I34" s="16"/>
      <c r="J34" s="16"/>
      <c r="K34" s="16"/>
      <c r="L34" s="16"/>
      <c r="M34" s="16"/>
      <c r="N34" s="15"/>
      <c r="O34" s="15"/>
      <c r="P34" s="15"/>
      <c r="Q34" s="15"/>
      <c r="R34" s="15"/>
      <c r="S34" s="15"/>
      <c r="T34" s="15"/>
      <c r="U34" s="15"/>
      <c r="V34" s="15"/>
    </row>
    <row r="35" spans="1:25" s="3" customFormat="1">
      <c r="A35" s="14"/>
      <c r="B35" s="14"/>
      <c r="C35" s="16"/>
      <c r="D35" s="33"/>
      <c r="E35" s="16"/>
      <c r="F35" s="15"/>
      <c r="G35" s="15"/>
      <c r="H35" s="15"/>
      <c r="I35" s="16"/>
      <c r="J35" s="16"/>
      <c r="K35" s="16"/>
      <c r="L35" s="16"/>
      <c r="M35" s="16"/>
      <c r="N35" s="15"/>
      <c r="O35" s="15"/>
      <c r="P35" s="15"/>
      <c r="Q35" s="15"/>
      <c r="R35" s="15"/>
      <c r="S35" s="15"/>
      <c r="T35" s="15"/>
      <c r="U35" s="15"/>
      <c r="V35" s="15"/>
    </row>
    <row r="36" spans="1:25" s="3" customFormat="1">
      <c r="A36" s="14"/>
      <c r="B36" s="14"/>
      <c r="C36" s="16"/>
      <c r="D36" s="33"/>
      <c r="E36" s="16"/>
      <c r="F36" s="15"/>
      <c r="G36" s="15"/>
      <c r="H36" s="15"/>
      <c r="I36" s="16"/>
      <c r="J36" s="16"/>
      <c r="K36" s="16"/>
      <c r="L36" s="16"/>
      <c r="M36" s="16"/>
      <c r="N36" s="15"/>
      <c r="O36" s="15"/>
      <c r="P36" s="15"/>
      <c r="Q36" s="15"/>
      <c r="R36" s="15"/>
      <c r="S36" s="15"/>
      <c r="T36" s="15"/>
      <c r="U36" s="15"/>
      <c r="V36" s="15"/>
    </row>
    <row r="37" spans="1:25" s="3" customFormat="1">
      <c r="A37" s="14"/>
      <c r="B37" s="5"/>
      <c r="C37" s="16"/>
      <c r="D37" s="33"/>
      <c r="E37" s="16"/>
      <c r="F37" s="15"/>
      <c r="G37" s="15"/>
      <c r="H37" s="15"/>
      <c r="I37" s="16"/>
      <c r="J37" s="16"/>
      <c r="K37" s="16"/>
      <c r="L37" s="16"/>
      <c r="M37" s="16"/>
      <c r="N37" s="15"/>
      <c r="O37" s="15"/>
      <c r="P37" s="15"/>
      <c r="Q37" s="15"/>
      <c r="R37" s="15"/>
      <c r="S37" s="15"/>
      <c r="T37" s="15"/>
      <c r="U37" s="15"/>
      <c r="V37" s="15"/>
    </row>
    <row r="38" spans="1:25" s="3" customFormat="1">
      <c r="A38" s="14"/>
      <c r="B38" s="14"/>
      <c r="C38" s="16"/>
      <c r="D38" s="33"/>
      <c r="E38" s="16"/>
      <c r="F38" s="15"/>
      <c r="G38" s="15"/>
      <c r="H38" s="15"/>
      <c r="I38" s="16"/>
      <c r="J38" s="16"/>
      <c r="K38" s="16"/>
      <c r="L38" s="16"/>
      <c r="M38" s="16"/>
      <c r="N38" s="15"/>
      <c r="O38" s="15"/>
      <c r="P38" s="15"/>
      <c r="Q38" s="15"/>
      <c r="R38" s="15"/>
      <c r="S38" s="15"/>
      <c r="T38" s="15"/>
      <c r="U38" s="15"/>
      <c r="V38" s="15"/>
    </row>
    <row r="39" spans="1:25" s="3" customFormat="1">
      <c r="A39" s="14"/>
      <c r="B39" s="14"/>
      <c r="C39" s="16"/>
      <c r="D39" s="33"/>
      <c r="E39" s="16"/>
      <c r="F39" s="15"/>
      <c r="G39" s="15"/>
      <c r="H39" s="15"/>
      <c r="I39" s="16"/>
      <c r="J39" s="16"/>
      <c r="K39" s="16"/>
      <c r="L39" s="16"/>
      <c r="M39" s="16"/>
      <c r="N39" s="15"/>
      <c r="O39" s="15"/>
      <c r="P39" s="15"/>
      <c r="Q39" s="15"/>
      <c r="R39" s="15"/>
      <c r="S39" s="15"/>
      <c r="T39" s="15"/>
      <c r="U39" s="15"/>
      <c r="V39" s="15"/>
    </row>
    <row r="40" spans="1:25" s="3" customFormat="1">
      <c r="A40" s="14"/>
      <c r="B40" s="14"/>
      <c r="C40" s="16"/>
      <c r="D40" s="33"/>
      <c r="E40" s="16"/>
      <c r="F40" s="15"/>
      <c r="G40" s="15"/>
      <c r="H40" s="15"/>
      <c r="I40" s="16"/>
      <c r="J40" s="16"/>
      <c r="K40" s="16"/>
      <c r="L40" s="16"/>
      <c r="M40" s="16"/>
      <c r="N40" s="15"/>
      <c r="O40" s="15"/>
      <c r="P40" s="15"/>
      <c r="Q40" s="15"/>
      <c r="R40" s="15"/>
      <c r="S40" s="11"/>
      <c r="T40" s="11"/>
      <c r="U40" s="15"/>
      <c r="V40" s="15"/>
    </row>
    <row r="41" spans="1:25" s="3" customFormat="1">
      <c r="A41" s="14"/>
      <c r="B41" s="14"/>
      <c r="C41" s="16"/>
      <c r="D41" s="33"/>
      <c r="E41" s="16"/>
      <c r="F41" s="15"/>
      <c r="G41" s="15"/>
      <c r="H41" s="15"/>
      <c r="I41" s="16"/>
      <c r="J41" s="16"/>
      <c r="K41" s="16"/>
      <c r="L41" s="16"/>
      <c r="M41" s="16"/>
      <c r="N41" s="15"/>
      <c r="O41" s="15"/>
      <c r="P41" s="15"/>
      <c r="Q41" s="15"/>
      <c r="R41" s="15"/>
      <c r="S41" s="11"/>
      <c r="T41" s="11"/>
      <c r="U41" s="15"/>
      <c r="V41" s="15"/>
    </row>
    <row r="42" spans="1:25" s="3" customFormat="1">
      <c r="A42" s="14"/>
      <c r="B42" s="14"/>
      <c r="C42" s="16"/>
      <c r="D42" s="33"/>
      <c r="E42" s="16"/>
      <c r="F42" s="15"/>
      <c r="G42" s="15"/>
      <c r="H42" s="15"/>
      <c r="I42" s="16"/>
      <c r="J42" s="16"/>
      <c r="K42" s="16"/>
      <c r="L42" s="16"/>
      <c r="M42" s="16"/>
      <c r="N42" s="15"/>
      <c r="O42" s="15"/>
      <c r="P42" s="15"/>
      <c r="Q42" s="15"/>
      <c r="R42" s="15"/>
      <c r="S42" s="11"/>
      <c r="T42" s="11"/>
      <c r="U42" s="15"/>
      <c r="V42" s="15"/>
    </row>
    <row r="43" spans="1:25" s="3" customFormat="1">
      <c r="A43" s="14"/>
      <c r="B43" s="14"/>
      <c r="C43" s="16"/>
      <c r="D43" s="33"/>
      <c r="E43" s="16"/>
      <c r="F43" s="15"/>
      <c r="G43" s="15"/>
      <c r="H43" s="15"/>
      <c r="I43" s="16"/>
      <c r="J43" s="16"/>
      <c r="K43" s="16"/>
      <c r="L43" s="16"/>
      <c r="M43" s="16"/>
      <c r="N43" s="15"/>
      <c r="O43" s="15"/>
      <c r="P43" s="15"/>
      <c r="Q43" s="15"/>
      <c r="R43" s="15"/>
      <c r="S43" s="11"/>
      <c r="T43" s="11"/>
      <c r="U43" s="15"/>
      <c r="V43" s="15"/>
    </row>
    <row r="44" spans="1:25" s="3" customFormat="1">
      <c r="A44" s="1"/>
      <c r="B44" s="4"/>
      <c r="C44" s="4"/>
      <c r="D44" s="4"/>
      <c r="E44" s="4"/>
      <c r="F44" s="13"/>
      <c r="G44" s="11"/>
      <c r="H44" s="11"/>
      <c r="I44" s="4"/>
      <c r="J44" s="4"/>
      <c r="K44" s="4"/>
      <c r="L44" s="4"/>
      <c r="M44" s="4"/>
      <c r="N44" s="11"/>
      <c r="O44" s="11"/>
      <c r="P44" s="11"/>
      <c r="Q44" s="11"/>
      <c r="R44" s="11"/>
      <c r="S44" s="11"/>
      <c r="T44" s="11"/>
      <c r="U44" s="11"/>
      <c r="V44" s="15"/>
      <c r="Y44" s="128"/>
    </row>
    <row r="45" spans="1:25">
      <c r="F45" s="13"/>
      <c r="G45" s="11"/>
      <c r="H45" s="11"/>
      <c r="N45" s="11"/>
      <c r="O45" s="11"/>
      <c r="P45" s="11"/>
      <c r="Q45" s="11"/>
      <c r="R45" s="11"/>
      <c r="S45" s="11"/>
      <c r="T45" s="11"/>
      <c r="U45" s="11"/>
      <c r="V45" s="13"/>
      <c r="Y45" s="37"/>
    </row>
    <row r="46" spans="1:25">
      <c r="A46" s="26"/>
      <c r="B46" s="27"/>
      <c r="D46" s="27"/>
      <c r="F46" s="13"/>
      <c r="G46" s="11"/>
      <c r="H46" s="11"/>
      <c r="N46" s="11"/>
      <c r="O46" s="11"/>
      <c r="P46" s="11"/>
      <c r="Q46" s="11"/>
      <c r="R46" s="11"/>
      <c r="S46" s="11"/>
      <c r="T46" s="11"/>
      <c r="U46" s="11"/>
      <c r="V46" s="13"/>
    </row>
    <row r="47" spans="1:25">
      <c r="F47" s="13"/>
      <c r="G47" s="11"/>
      <c r="H47" s="11"/>
      <c r="N47" s="11"/>
      <c r="O47" s="11"/>
      <c r="P47" s="11"/>
      <c r="Q47" s="11"/>
      <c r="R47" s="11"/>
      <c r="S47" s="11"/>
      <c r="T47" s="11"/>
      <c r="U47" s="11"/>
      <c r="V47" s="13"/>
    </row>
    <row r="48" spans="1:25">
      <c r="F48" s="13"/>
      <c r="G48" s="11"/>
      <c r="H48" s="11"/>
      <c r="N48" s="11"/>
      <c r="O48" s="11"/>
      <c r="P48" s="11"/>
      <c r="Q48" s="11"/>
      <c r="R48" s="11"/>
      <c r="S48" s="11"/>
      <c r="T48" s="11"/>
      <c r="U48" s="11"/>
      <c r="V48" s="13"/>
    </row>
    <row r="49" spans="6:22">
      <c r="F49" s="13"/>
      <c r="G49" s="11"/>
      <c r="H49" s="11"/>
      <c r="N49" s="11"/>
      <c r="O49" s="11"/>
      <c r="P49" s="11"/>
      <c r="Q49" s="11"/>
      <c r="R49" s="11"/>
      <c r="S49" s="11"/>
      <c r="T49" s="11"/>
      <c r="U49" s="11"/>
      <c r="V49" s="13"/>
    </row>
    <row r="50" spans="6:22">
      <c r="F50" s="13"/>
      <c r="G50" s="11"/>
      <c r="H50" s="11"/>
      <c r="N50" s="11"/>
      <c r="O50" s="11"/>
      <c r="P50" s="11"/>
      <c r="Q50" s="11"/>
      <c r="R50" s="11"/>
      <c r="S50" s="11"/>
      <c r="T50" s="11"/>
      <c r="U50" s="11"/>
      <c r="V50" s="13"/>
    </row>
    <row r="51" spans="6:22">
      <c r="F51" s="13"/>
      <c r="G51" s="11"/>
      <c r="H51" s="11"/>
      <c r="N51" s="11"/>
      <c r="O51" s="11"/>
      <c r="P51" s="11"/>
      <c r="Q51" s="11"/>
      <c r="R51" s="11"/>
      <c r="S51" s="11"/>
      <c r="T51" s="11"/>
      <c r="U51" s="11"/>
      <c r="V51" s="13"/>
    </row>
    <row r="52" spans="6:22">
      <c r="F52" s="13"/>
      <c r="G52" s="11"/>
      <c r="H52" s="11"/>
      <c r="N52" s="11"/>
      <c r="O52" s="11"/>
      <c r="P52" s="11"/>
      <c r="Q52" s="11"/>
      <c r="R52" s="11"/>
      <c r="S52" s="11"/>
      <c r="T52" s="11"/>
      <c r="U52" s="11"/>
      <c r="V52" s="13"/>
    </row>
    <row r="53" spans="6:22">
      <c r="F53" s="13"/>
      <c r="G53" s="11"/>
      <c r="H53" s="11"/>
      <c r="N53" s="11"/>
      <c r="O53" s="11"/>
      <c r="P53" s="11"/>
      <c r="Q53" s="11"/>
      <c r="R53" s="11"/>
      <c r="S53" s="11"/>
      <c r="T53" s="11"/>
      <c r="U53" s="11"/>
      <c r="V53" s="13"/>
    </row>
    <row r="54" spans="6:22">
      <c r="F54" s="13"/>
      <c r="G54" s="11"/>
      <c r="H54" s="11"/>
      <c r="N54" s="11"/>
      <c r="O54" s="11"/>
      <c r="P54" s="11"/>
      <c r="Q54" s="11"/>
      <c r="R54" s="11"/>
      <c r="S54" s="11"/>
      <c r="T54" s="11"/>
      <c r="U54" s="11"/>
      <c r="V54" s="13"/>
    </row>
    <row r="55" spans="6:22">
      <c r="F55" s="13"/>
      <c r="G55" s="11"/>
      <c r="H55" s="11"/>
      <c r="N55" s="11"/>
      <c r="O55" s="11"/>
      <c r="P55" s="11"/>
      <c r="Q55" s="11"/>
      <c r="R55" s="11"/>
      <c r="S55" s="11"/>
      <c r="T55" s="11"/>
      <c r="U55" s="11"/>
      <c r="V55" s="13"/>
    </row>
    <row r="56" spans="6:22">
      <c r="F56" s="13"/>
      <c r="G56" s="11"/>
      <c r="H56" s="11"/>
      <c r="N56" s="11"/>
      <c r="O56" s="11"/>
      <c r="P56" s="11"/>
      <c r="Q56" s="11"/>
      <c r="R56" s="11"/>
      <c r="S56" s="11"/>
      <c r="T56" s="11"/>
      <c r="U56" s="11"/>
      <c r="V56" s="13"/>
    </row>
    <row r="57" spans="6:22">
      <c r="F57" s="13"/>
      <c r="G57" s="11"/>
      <c r="H57" s="11"/>
      <c r="N57" s="11"/>
      <c r="O57" s="11"/>
      <c r="P57" s="11"/>
      <c r="Q57" s="11"/>
      <c r="R57" s="11"/>
      <c r="S57" s="11"/>
      <c r="T57" s="11"/>
      <c r="U57" s="11"/>
      <c r="V57" s="13"/>
    </row>
    <row r="58" spans="6:22">
      <c r="F58" s="13"/>
      <c r="G58" s="11"/>
      <c r="H58" s="11"/>
      <c r="N58" s="11"/>
      <c r="O58" s="11"/>
      <c r="P58" s="11"/>
      <c r="Q58" s="11"/>
      <c r="R58" s="11"/>
      <c r="S58" s="11"/>
      <c r="T58" s="11"/>
      <c r="U58" s="11"/>
      <c r="V58" s="13"/>
    </row>
    <row r="59" spans="6:22">
      <c r="G59" s="11"/>
      <c r="H59" s="11"/>
      <c r="N59" s="11"/>
      <c r="O59" s="11"/>
      <c r="P59" s="11"/>
      <c r="Q59" s="11"/>
      <c r="R59" s="11"/>
      <c r="S59" s="11"/>
      <c r="T59" s="11"/>
      <c r="U59" s="11"/>
      <c r="V59" s="13"/>
    </row>
    <row r="60" spans="6:22">
      <c r="F60" s="13"/>
      <c r="G60" s="11"/>
      <c r="H60" s="11"/>
      <c r="N60" s="11"/>
      <c r="O60" s="11"/>
      <c r="P60" s="11"/>
      <c r="Q60" s="11"/>
      <c r="R60" s="11"/>
      <c r="S60" s="10"/>
      <c r="T60" s="10"/>
      <c r="U60" s="11"/>
      <c r="V60" s="13"/>
    </row>
    <row r="61" spans="6:22">
      <c r="F61" s="13"/>
      <c r="G61" s="11"/>
      <c r="H61" s="11"/>
      <c r="N61" s="11"/>
      <c r="O61" s="11"/>
      <c r="P61" s="11"/>
      <c r="Q61" s="11"/>
      <c r="R61" s="11"/>
      <c r="S61" s="10"/>
      <c r="T61" s="10"/>
      <c r="U61" s="11"/>
      <c r="V61" s="13"/>
    </row>
    <row r="62" spans="6:22">
      <c r="F62" s="13"/>
      <c r="G62" s="11"/>
      <c r="H62" s="11"/>
      <c r="N62" s="11"/>
      <c r="O62" s="11"/>
      <c r="P62" s="11"/>
      <c r="Q62" s="11"/>
      <c r="R62" s="11"/>
      <c r="U62" s="11"/>
      <c r="V62" s="13"/>
    </row>
    <row r="63" spans="6:22">
      <c r="F63" s="13"/>
      <c r="G63" s="11"/>
      <c r="H63" s="11"/>
      <c r="N63" s="11"/>
      <c r="O63" s="11"/>
      <c r="P63" s="11"/>
      <c r="Q63" s="11"/>
      <c r="R63" s="11"/>
      <c r="U63" s="11"/>
      <c r="V63" s="13"/>
    </row>
    <row r="64" spans="6:22">
      <c r="F64" s="10"/>
      <c r="H64" s="10"/>
      <c r="O64" s="10"/>
      <c r="P64" s="10"/>
      <c r="Q64" s="10"/>
      <c r="R64" s="10"/>
      <c r="U64" s="10"/>
      <c r="V64" s="13"/>
    </row>
    <row r="65" spans="6:21">
      <c r="F65" s="10"/>
      <c r="H65" s="10"/>
      <c r="O65" s="10"/>
      <c r="P65" s="10"/>
      <c r="Q65" s="10"/>
      <c r="R65" s="10"/>
      <c r="U65" s="10"/>
    </row>
  </sheetData>
  <mergeCells count="7">
    <mergeCell ref="A1:P1"/>
    <mergeCell ref="N3:O3"/>
    <mergeCell ref="N4:O4"/>
    <mergeCell ref="F3:H3"/>
    <mergeCell ref="F4:H4"/>
    <mergeCell ref="J3:L3"/>
    <mergeCell ref="J4:L4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E53"/>
  <sheetViews>
    <sheetView showGridLines="0" zoomScaleNormal="100" workbookViewId="0">
      <selection sqref="A1:M1"/>
    </sheetView>
  </sheetViews>
  <sheetFormatPr defaultColWidth="11.7109375" defaultRowHeight="12.75"/>
  <cols>
    <col min="1" max="1" width="2.5703125" customWidth="1"/>
    <col min="2" max="2" width="2.7109375" customWidth="1"/>
    <col min="3" max="3" width="54" customWidth="1"/>
    <col min="4" max="4" width="1.5703125" customWidth="1"/>
    <col min="5" max="5" width="5.7109375" style="34" customWidth="1"/>
    <col min="6" max="6" width="1.5703125" customWidth="1"/>
    <col min="7" max="7" width="12.28515625" customWidth="1"/>
    <col min="8" max="8" width="1.140625" style="22" customWidth="1"/>
    <col min="9" max="9" width="14.5703125" style="22" customWidth="1"/>
    <col min="10" max="10" width="2.42578125" customWidth="1"/>
    <col min="11" max="11" width="12.140625" style="22" customWidth="1"/>
    <col min="12" max="12" width="9.85546875" style="22" customWidth="1"/>
    <col min="13" max="13" width="8.5703125" style="22" customWidth="1"/>
    <col min="14" max="14" width="3.7109375" style="93" customWidth="1"/>
    <col min="15" max="15" width="12.28515625" style="93" customWidth="1"/>
    <col min="16" max="16" width="2" style="93" customWidth="1"/>
    <col min="17" max="17" width="4.5703125" style="22" customWidth="1"/>
    <col min="18" max="18" width="1.85546875" style="30" customWidth="1"/>
    <col min="19" max="19" width="2" style="30" customWidth="1"/>
    <col min="20" max="20" width="13.42578125" style="31" customWidth="1"/>
    <col min="21" max="21" width="1.5703125" style="31" customWidth="1"/>
    <col min="22" max="22" width="13.42578125" style="119" customWidth="1"/>
    <col min="23" max="23" width="12.7109375" style="31" customWidth="1"/>
    <col min="24" max="39" width="11.7109375" style="31" customWidth="1"/>
    <col min="40" max="57" width="11.7109375" style="31"/>
  </cols>
  <sheetData>
    <row r="1" spans="1:57" s="1" customFormat="1" ht="18.75">
      <c r="A1" s="555" t="s">
        <v>97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110"/>
      <c r="O1" s="110"/>
      <c r="P1" s="110"/>
      <c r="Q1" s="110"/>
      <c r="R1" s="110"/>
      <c r="S1" s="110"/>
      <c r="T1" s="110"/>
      <c r="U1" s="9"/>
      <c r="V1" s="118"/>
      <c r="W1" s="8"/>
      <c r="X1" s="8"/>
      <c r="Y1" s="8"/>
      <c r="Z1" s="128"/>
      <c r="AA1" s="8"/>
      <c r="AB1" s="8"/>
      <c r="AC1" s="8"/>
    </row>
    <row r="2" spans="1:57" s="1" customFormat="1" ht="11.25" customHeight="1" thickBot="1">
      <c r="A2" s="192"/>
      <c r="B2" s="192"/>
      <c r="C2" s="192"/>
      <c r="D2" s="192"/>
      <c r="E2" s="192"/>
      <c r="F2" s="206"/>
      <c r="G2" s="206"/>
      <c r="H2" s="207"/>
      <c r="I2" s="207"/>
      <c r="J2" s="207"/>
      <c r="K2" s="87"/>
      <c r="L2" s="132"/>
      <c r="M2" s="132"/>
      <c r="N2" s="87"/>
      <c r="O2" s="87"/>
      <c r="P2" s="87"/>
      <c r="Q2" s="20"/>
      <c r="R2" s="120"/>
      <c r="S2" s="8"/>
      <c r="T2" s="8"/>
      <c r="U2" s="8"/>
      <c r="V2" s="128"/>
      <c r="W2" s="8"/>
      <c r="X2" s="8"/>
      <c r="Y2" s="8"/>
    </row>
    <row r="3" spans="1:57" ht="11.45" customHeight="1">
      <c r="A3" s="313"/>
      <c r="B3" s="313"/>
      <c r="C3" s="313"/>
      <c r="D3" s="314"/>
      <c r="E3" s="313"/>
      <c r="F3" s="314"/>
      <c r="G3" s="554" t="s">
        <v>232</v>
      </c>
      <c r="H3" s="554"/>
      <c r="I3" s="554"/>
      <c r="J3" s="398"/>
      <c r="K3" s="397" t="s">
        <v>1</v>
      </c>
      <c r="L3" s="116"/>
      <c r="M3" s="116"/>
      <c r="N3" s="30"/>
      <c r="O3" s="30"/>
      <c r="P3" s="31"/>
      <c r="Q3" s="31"/>
      <c r="R3" s="119"/>
      <c r="S3" s="31"/>
      <c r="V3" s="31"/>
      <c r="BB3"/>
      <c r="BC3"/>
      <c r="BD3"/>
      <c r="BE3"/>
    </row>
    <row r="4" spans="1:57" s="6" customFormat="1" ht="11.45" customHeight="1" thickBot="1">
      <c r="A4" s="315" t="s">
        <v>106</v>
      </c>
      <c r="B4" s="316"/>
      <c r="C4" s="316"/>
      <c r="D4" s="314"/>
      <c r="E4" s="316" t="s">
        <v>39</v>
      </c>
      <c r="F4" s="314"/>
      <c r="G4" s="317">
        <v>2016</v>
      </c>
      <c r="H4" s="313"/>
      <c r="I4" s="317">
        <v>2015</v>
      </c>
      <c r="J4" s="318"/>
      <c r="K4" s="317">
        <v>2015</v>
      </c>
      <c r="L4" s="31"/>
      <c r="M4" s="30"/>
      <c r="N4" s="31"/>
      <c r="O4" s="31"/>
      <c r="P4" s="119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</row>
    <row r="5" spans="1:57" s="31" customFormat="1" ht="11.45" customHeight="1">
      <c r="A5" s="319"/>
      <c r="B5" s="313"/>
      <c r="C5" s="313"/>
      <c r="D5" s="314"/>
      <c r="E5" s="313"/>
      <c r="F5" s="314"/>
      <c r="G5" s="318"/>
      <c r="H5" s="313"/>
      <c r="I5" s="318"/>
      <c r="J5" s="318"/>
      <c r="K5" s="318"/>
      <c r="M5" s="30"/>
      <c r="P5" s="138"/>
    </row>
    <row r="6" spans="1:57" ht="11.45" customHeight="1">
      <c r="A6" s="319" t="s">
        <v>12</v>
      </c>
      <c r="B6" s="320"/>
      <c r="C6" s="320"/>
      <c r="D6" s="321"/>
      <c r="E6" s="320"/>
      <c r="F6" s="321"/>
      <c r="G6" s="322"/>
      <c r="H6" s="323"/>
      <c r="I6" s="323"/>
      <c r="J6" s="322"/>
      <c r="K6" s="322"/>
      <c r="M6" s="30"/>
      <c r="N6" s="31"/>
      <c r="O6" s="31"/>
      <c r="P6" s="119"/>
      <c r="Q6" s="31"/>
      <c r="R6" s="31"/>
      <c r="S6" s="31"/>
      <c r="V6" s="31"/>
      <c r="AZ6"/>
      <c r="BA6"/>
      <c r="BB6"/>
      <c r="BC6"/>
      <c r="BD6"/>
      <c r="BE6"/>
    </row>
    <row r="7" spans="1:57" ht="11.45" customHeight="1">
      <c r="A7" s="324"/>
      <c r="B7" s="324" t="s">
        <v>2</v>
      </c>
      <c r="C7" s="325"/>
      <c r="D7" s="325"/>
      <c r="E7" s="326">
        <v>10</v>
      </c>
      <c r="F7" s="325"/>
      <c r="G7" s="328">
        <v>77.331000000000003</v>
      </c>
      <c r="H7" s="327"/>
      <c r="I7" s="328">
        <v>82.3</v>
      </c>
      <c r="J7" s="327"/>
      <c r="K7" s="327">
        <v>81.567999999999998</v>
      </c>
      <c r="L7" s="93"/>
      <c r="M7" s="93"/>
      <c r="N7" s="30"/>
      <c r="O7" s="30"/>
      <c r="P7" s="31"/>
      <c r="Q7" s="31"/>
      <c r="R7" s="119"/>
      <c r="S7" s="31"/>
      <c r="V7" s="31"/>
      <c r="BB7"/>
      <c r="BC7"/>
      <c r="BD7"/>
      <c r="BE7"/>
    </row>
    <row r="8" spans="1:57" ht="11.45" customHeight="1">
      <c r="A8" s="324"/>
      <c r="B8" s="325" t="s">
        <v>14</v>
      </c>
      <c r="C8" s="325"/>
      <c r="D8" s="325"/>
      <c r="E8" s="326">
        <v>10</v>
      </c>
      <c r="F8" s="325"/>
      <c r="G8" s="328">
        <v>13.755000000000001</v>
      </c>
      <c r="H8" s="327"/>
      <c r="I8" s="328">
        <v>18.399999999999999</v>
      </c>
      <c r="J8" s="327"/>
      <c r="K8" s="327">
        <v>19.023</v>
      </c>
      <c r="L8" s="93"/>
      <c r="M8" s="93"/>
      <c r="N8" s="30"/>
      <c r="O8" s="30"/>
      <c r="P8" s="31"/>
      <c r="Q8" s="31"/>
      <c r="R8" s="119"/>
      <c r="S8" s="31"/>
      <c r="V8" s="31"/>
      <c r="BB8"/>
      <c r="BC8"/>
      <c r="BD8"/>
      <c r="BE8"/>
    </row>
    <row r="9" spans="1:57" ht="11.45" customHeight="1">
      <c r="A9" s="329"/>
      <c r="B9" s="325" t="s">
        <v>31</v>
      </c>
      <c r="C9" s="325"/>
      <c r="D9" s="325"/>
      <c r="E9" s="313"/>
      <c r="F9" s="325"/>
      <c r="G9" s="328">
        <v>131.083</v>
      </c>
      <c r="H9" s="327"/>
      <c r="I9" s="328">
        <v>174</v>
      </c>
      <c r="J9" s="327"/>
      <c r="K9" s="327">
        <v>112.80500000000001</v>
      </c>
      <c r="L9" s="93"/>
      <c r="M9" s="93"/>
      <c r="N9" s="30"/>
      <c r="O9" s="30"/>
      <c r="P9" s="31"/>
      <c r="Q9" s="31"/>
      <c r="R9" s="119"/>
      <c r="S9" s="31"/>
      <c r="V9" s="31"/>
      <c r="BB9"/>
      <c r="BC9"/>
      <c r="BD9"/>
      <c r="BE9"/>
    </row>
    <row r="10" spans="1:57" ht="11.45" customHeight="1">
      <c r="A10" s="329"/>
      <c r="B10" s="325" t="s">
        <v>32</v>
      </c>
      <c r="C10" s="325"/>
      <c r="D10" s="325"/>
      <c r="E10" s="313"/>
      <c r="F10" s="325"/>
      <c r="G10" s="328">
        <v>121.782</v>
      </c>
      <c r="H10" s="327"/>
      <c r="I10" s="328">
        <v>125.2</v>
      </c>
      <c r="J10" s="327"/>
      <c r="K10" s="327">
        <v>158.125</v>
      </c>
      <c r="L10" s="93"/>
      <c r="M10" s="93"/>
      <c r="N10" s="30"/>
      <c r="O10" s="30"/>
      <c r="P10" s="31"/>
      <c r="Q10" s="31"/>
      <c r="R10" s="119"/>
      <c r="S10" s="31"/>
      <c r="V10" s="31"/>
      <c r="BB10"/>
      <c r="BC10"/>
      <c r="BD10"/>
      <c r="BE10"/>
    </row>
    <row r="11" spans="1:57" ht="11.45" customHeight="1">
      <c r="A11" s="329"/>
      <c r="B11" s="329" t="s">
        <v>7</v>
      </c>
      <c r="C11" s="325"/>
      <c r="D11" s="325"/>
      <c r="E11" s="313"/>
      <c r="F11" s="325"/>
      <c r="G11" s="328">
        <v>74.721999999999994</v>
      </c>
      <c r="H11" s="327"/>
      <c r="I11" s="328">
        <v>115.7</v>
      </c>
      <c r="J11" s="327"/>
      <c r="K11" s="327">
        <f>98.784</f>
        <v>98.784000000000006</v>
      </c>
      <c r="L11" s="93"/>
      <c r="M11" s="93"/>
      <c r="N11" s="30"/>
      <c r="O11" s="30"/>
      <c r="P11" s="31"/>
      <c r="Q11" s="31"/>
      <c r="R11" s="119"/>
      <c r="S11" s="31"/>
      <c r="V11" s="31"/>
      <c r="BB11"/>
      <c r="BC11"/>
      <c r="BD11"/>
      <c r="BE11"/>
    </row>
    <row r="12" spans="1:57" ht="11.45" customHeight="1">
      <c r="A12" s="330" t="s">
        <v>18</v>
      </c>
      <c r="B12" s="330"/>
      <c r="C12" s="331"/>
      <c r="D12" s="314"/>
      <c r="E12" s="313"/>
      <c r="F12" s="314"/>
      <c r="G12" s="332">
        <f>SUM(G7:G11)</f>
        <v>418.67299999999994</v>
      </c>
      <c r="H12" s="328"/>
      <c r="I12" s="332">
        <f>SUM(I7:I11)+0.1</f>
        <v>515.70000000000005</v>
      </c>
      <c r="J12" s="328"/>
      <c r="K12" s="332">
        <f>SUM(K7:K11)</f>
        <v>470.30500000000001</v>
      </c>
      <c r="L12" s="93"/>
      <c r="M12" s="93"/>
      <c r="N12" s="30"/>
      <c r="O12" s="30"/>
      <c r="P12" s="31"/>
      <c r="Q12" s="31"/>
      <c r="R12" s="119"/>
      <c r="S12" s="31"/>
      <c r="V12" s="31"/>
      <c r="BB12"/>
      <c r="BC12"/>
      <c r="BD12"/>
      <c r="BE12"/>
    </row>
    <row r="13" spans="1:57" ht="11.45" customHeight="1">
      <c r="A13" s="329"/>
      <c r="B13" s="324" t="s">
        <v>33</v>
      </c>
      <c r="C13" s="325"/>
      <c r="D13" s="325"/>
      <c r="E13" s="313">
        <v>8</v>
      </c>
      <c r="F13" s="325"/>
      <c r="G13" s="328">
        <v>1420.768</v>
      </c>
      <c r="H13" s="327"/>
      <c r="I13" s="328">
        <v>1407.9</v>
      </c>
      <c r="J13" s="327"/>
      <c r="K13" s="327">
        <v>1397.4829999999999</v>
      </c>
      <c r="L13" s="93"/>
      <c r="M13" s="93"/>
      <c r="N13" s="30"/>
      <c r="O13" s="116"/>
      <c r="P13" s="90"/>
      <c r="Q13" s="90"/>
      <c r="R13" s="119"/>
      <c r="S13" s="90"/>
      <c r="T13" s="90"/>
      <c r="V13" s="31"/>
      <c r="BB13"/>
      <c r="BC13"/>
      <c r="BD13"/>
      <c r="BE13"/>
    </row>
    <row r="14" spans="1:57" ht="11.45" customHeight="1">
      <c r="A14" s="329"/>
      <c r="B14" s="324" t="s">
        <v>44</v>
      </c>
      <c r="C14" s="325"/>
      <c r="D14" s="325"/>
      <c r="E14" s="313">
        <v>9</v>
      </c>
      <c r="F14" s="325"/>
      <c r="G14" s="328">
        <v>682.101</v>
      </c>
      <c r="H14" s="327"/>
      <c r="I14" s="328">
        <v>807.1</v>
      </c>
      <c r="J14" s="327"/>
      <c r="K14" s="327">
        <v>695.03899999999999</v>
      </c>
      <c r="L14" s="93"/>
      <c r="M14" s="93"/>
      <c r="N14" s="124"/>
      <c r="O14" s="124"/>
      <c r="P14" s="125"/>
      <c r="Q14" s="31"/>
      <c r="R14" s="119"/>
      <c r="S14" s="31"/>
      <c r="V14" s="31"/>
      <c r="BB14"/>
      <c r="BC14"/>
      <c r="BD14"/>
      <c r="BE14"/>
    </row>
    <row r="15" spans="1:57" ht="11.45" customHeight="1">
      <c r="A15" s="329"/>
      <c r="B15" s="324" t="s">
        <v>14</v>
      </c>
      <c r="C15" s="325"/>
      <c r="D15" s="325"/>
      <c r="E15" s="326">
        <v>10</v>
      </c>
      <c r="F15" s="325"/>
      <c r="G15" s="328">
        <v>86.381</v>
      </c>
      <c r="H15" s="327"/>
      <c r="I15" s="328">
        <v>49.3</v>
      </c>
      <c r="J15" s="327"/>
      <c r="K15" s="327">
        <v>52.533999999999999</v>
      </c>
      <c r="L15" s="93"/>
      <c r="M15" s="93"/>
      <c r="N15" s="30"/>
      <c r="O15" s="30"/>
      <c r="P15" s="31"/>
      <c r="Q15" s="31"/>
      <c r="R15" s="119"/>
      <c r="S15" s="31"/>
      <c r="V15" s="31"/>
      <c r="BB15"/>
      <c r="BC15"/>
      <c r="BD15"/>
      <c r="BE15"/>
    </row>
    <row r="16" spans="1:57" ht="11.45" customHeight="1">
      <c r="A16" s="329"/>
      <c r="B16" s="324" t="s">
        <v>28</v>
      </c>
      <c r="C16" s="325"/>
      <c r="D16" s="325"/>
      <c r="E16" s="313"/>
      <c r="F16" s="325"/>
      <c r="G16" s="328">
        <v>101.914</v>
      </c>
      <c r="H16" s="327"/>
      <c r="I16" s="328">
        <v>70</v>
      </c>
      <c r="J16" s="327"/>
      <c r="K16" s="327">
        <f>83.213-3.838614</f>
        <v>79.374385999999987</v>
      </c>
      <c r="L16" s="93"/>
      <c r="M16" s="93"/>
      <c r="N16" s="30"/>
      <c r="O16" s="30"/>
      <c r="P16" s="31"/>
      <c r="Q16" s="31"/>
      <c r="R16" s="119"/>
      <c r="S16" s="31"/>
      <c r="V16" s="31"/>
      <c r="BB16"/>
      <c r="BC16"/>
      <c r="BD16"/>
      <c r="BE16"/>
    </row>
    <row r="17" spans="1:57" ht="11.45" customHeight="1">
      <c r="A17" s="329"/>
      <c r="B17" s="324" t="s">
        <v>96</v>
      </c>
      <c r="C17" s="325"/>
      <c r="D17" s="325"/>
      <c r="E17" s="313"/>
      <c r="F17" s="325"/>
      <c r="G17" s="328">
        <v>120.129</v>
      </c>
      <c r="H17" s="327"/>
      <c r="I17" s="328">
        <v>64.099999999999994</v>
      </c>
      <c r="J17" s="327"/>
      <c r="K17" s="327">
        <v>57.728999999999999</v>
      </c>
      <c r="L17" s="93"/>
      <c r="M17" s="93"/>
      <c r="N17" s="30"/>
      <c r="O17" s="30"/>
      <c r="P17" s="31"/>
      <c r="Q17" s="31"/>
      <c r="R17" s="119"/>
      <c r="S17" s="31"/>
      <c r="V17" s="31"/>
      <c r="BB17"/>
      <c r="BC17"/>
      <c r="BD17"/>
      <c r="BE17"/>
    </row>
    <row r="18" spans="1:57" ht="11.45" customHeight="1">
      <c r="A18" s="329"/>
      <c r="B18" s="324" t="s">
        <v>26</v>
      </c>
      <c r="C18" s="325"/>
      <c r="D18" s="325"/>
      <c r="E18" s="313"/>
      <c r="F18" s="325"/>
      <c r="G18" s="328">
        <v>0</v>
      </c>
      <c r="H18" s="327"/>
      <c r="I18" s="328">
        <v>139.9</v>
      </c>
      <c r="J18" s="327"/>
      <c r="K18" s="327">
        <v>0</v>
      </c>
      <c r="L18" s="93"/>
      <c r="M18" s="93"/>
      <c r="N18" s="30"/>
      <c r="O18" s="30"/>
      <c r="P18" s="31"/>
      <c r="Q18" s="31"/>
      <c r="R18" s="119"/>
      <c r="S18" s="31"/>
      <c r="V18" s="31"/>
      <c r="BB18"/>
      <c r="BC18"/>
      <c r="BD18"/>
      <c r="BE18"/>
    </row>
    <row r="19" spans="1:57" ht="11.45" customHeight="1">
      <c r="A19" s="333"/>
      <c r="B19" s="333" t="s">
        <v>34</v>
      </c>
      <c r="C19" s="334"/>
      <c r="D19" s="325"/>
      <c r="E19" s="313"/>
      <c r="F19" s="325"/>
      <c r="G19" s="328">
        <v>158.53800000000001</v>
      </c>
      <c r="H19" s="327"/>
      <c r="I19" s="328">
        <v>192.7</v>
      </c>
      <c r="J19" s="328"/>
      <c r="K19" s="335">
        <v>161.62299999999999</v>
      </c>
      <c r="L19" s="93"/>
      <c r="M19" s="93"/>
      <c r="N19" s="30"/>
      <c r="O19" s="30"/>
      <c r="P19" s="31"/>
      <c r="Q19" s="31"/>
      <c r="R19" s="119"/>
      <c r="S19" s="31"/>
      <c r="V19" s="31"/>
      <c r="BB19"/>
      <c r="BC19"/>
      <c r="BD19"/>
      <c r="BE19"/>
    </row>
    <row r="20" spans="1:57" ht="11.45" customHeight="1">
      <c r="A20" s="331" t="s">
        <v>119</v>
      </c>
      <c r="B20" s="333"/>
      <c r="C20" s="336"/>
      <c r="D20" s="325"/>
      <c r="E20" s="313"/>
      <c r="F20" s="325"/>
      <c r="G20" s="332">
        <f>SUM(G13:G19)</f>
        <v>2569.8310000000001</v>
      </c>
      <c r="H20" s="327"/>
      <c r="I20" s="332">
        <f>SUM(I13:I19)-0.1</f>
        <v>2730.9</v>
      </c>
      <c r="J20" s="328"/>
      <c r="K20" s="327">
        <f>SUM(K13:K19)</f>
        <v>2443.7823859999999</v>
      </c>
      <c r="L20" s="93"/>
      <c r="M20" s="93"/>
      <c r="N20" s="30"/>
      <c r="O20" s="30"/>
      <c r="P20" s="31"/>
      <c r="Q20" s="31"/>
      <c r="R20" s="119"/>
      <c r="S20" s="31"/>
      <c r="V20" s="31"/>
      <c r="BB20"/>
      <c r="BC20"/>
      <c r="BD20"/>
      <c r="BE20"/>
    </row>
    <row r="21" spans="1:57" s="217" customFormat="1" ht="11.45" customHeight="1" thickBot="1">
      <c r="A21" s="337"/>
      <c r="B21" s="337" t="s">
        <v>8</v>
      </c>
      <c r="C21" s="338"/>
      <c r="D21" s="339"/>
      <c r="E21" s="320"/>
      <c r="F21" s="339"/>
      <c r="G21" s="340">
        <f>G12+G20</f>
        <v>2988.5039999999999</v>
      </c>
      <c r="H21" s="341"/>
      <c r="I21" s="340">
        <f>I12+I20</f>
        <v>3246.6000000000004</v>
      </c>
      <c r="J21" s="341"/>
      <c r="K21" s="340">
        <f>K12+K20</f>
        <v>2914.0873859999997</v>
      </c>
      <c r="L21" s="218"/>
      <c r="M21" s="218"/>
      <c r="N21" s="214"/>
      <c r="O21" s="214"/>
      <c r="P21" s="215"/>
      <c r="Q21" s="215"/>
      <c r="R21" s="216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</row>
    <row r="22" spans="1:57" ht="11.45" customHeight="1">
      <c r="A22" s="329"/>
      <c r="B22" s="324"/>
      <c r="C22" s="325"/>
      <c r="D22" s="325"/>
      <c r="E22" s="313"/>
      <c r="F22" s="325"/>
      <c r="G22" s="342"/>
      <c r="H22" s="327"/>
      <c r="I22" s="328"/>
      <c r="J22" s="327"/>
      <c r="K22" s="327"/>
      <c r="L22" s="93"/>
      <c r="M22" s="93"/>
      <c r="N22" s="30"/>
      <c r="O22" s="30"/>
      <c r="P22" s="31"/>
      <c r="Q22" s="31"/>
      <c r="R22" s="119"/>
      <c r="S22" s="31"/>
      <c r="V22" s="31"/>
      <c r="BB22"/>
      <c r="BC22"/>
      <c r="BD22"/>
      <c r="BE22"/>
    </row>
    <row r="23" spans="1:57" ht="11.45" customHeight="1">
      <c r="A23" s="325" t="s">
        <v>9</v>
      </c>
      <c r="B23" s="325"/>
      <c r="C23" s="325"/>
      <c r="D23" s="325"/>
      <c r="E23" s="343"/>
      <c r="F23" s="325"/>
      <c r="G23" s="327"/>
      <c r="H23" s="327"/>
      <c r="I23" s="328"/>
      <c r="J23" s="327"/>
      <c r="K23" s="327"/>
      <c r="L23" s="93"/>
      <c r="M23" s="93"/>
      <c r="N23" s="30"/>
      <c r="O23" s="30"/>
      <c r="P23" s="31"/>
      <c r="Q23" s="31"/>
      <c r="R23" s="119"/>
      <c r="S23" s="31"/>
      <c r="V23" s="31"/>
      <c r="BB23"/>
      <c r="BC23"/>
      <c r="BD23"/>
      <c r="BE23"/>
    </row>
    <row r="24" spans="1:57" ht="11.45" customHeight="1">
      <c r="A24" s="325"/>
      <c r="B24" s="325" t="s">
        <v>15</v>
      </c>
      <c r="C24" s="325"/>
      <c r="D24" s="325"/>
      <c r="E24" s="344">
        <v>10</v>
      </c>
      <c r="F24" s="325"/>
      <c r="G24" s="327">
        <v>37.728000000000002</v>
      </c>
      <c r="H24" s="345"/>
      <c r="I24" s="346">
        <v>24.8</v>
      </c>
      <c r="J24" s="327"/>
      <c r="K24" s="327">
        <v>24.847999999999999</v>
      </c>
      <c r="L24" s="93"/>
      <c r="M24" s="93"/>
      <c r="N24" s="30"/>
      <c r="O24" s="30"/>
      <c r="P24" s="136"/>
      <c r="Q24" s="31"/>
      <c r="R24" s="119"/>
      <c r="S24" s="31"/>
      <c r="V24" s="31"/>
      <c r="BB24"/>
      <c r="BC24"/>
      <c r="BD24"/>
      <c r="BE24"/>
    </row>
    <row r="25" spans="1:57" ht="11.45" customHeight="1">
      <c r="A25" s="325"/>
      <c r="B25" s="325" t="s">
        <v>11</v>
      </c>
      <c r="C25" s="325"/>
      <c r="D25" s="325"/>
      <c r="E25" s="343"/>
      <c r="F25" s="325"/>
      <c r="G25" s="327">
        <v>55.887</v>
      </c>
      <c r="H25" s="327"/>
      <c r="I25" s="328">
        <v>48.7</v>
      </c>
      <c r="J25" s="327"/>
      <c r="K25" s="327">
        <v>52.555</v>
      </c>
      <c r="L25" s="93"/>
      <c r="M25" s="93"/>
      <c r="N25" s="30"/>
      <c r="O25" s="30"/>
      <c r="P25" s="31"/>
      <c r="Q25" s="31"/>
      <c r="R25" s="119"/>
      <c r="S25" s="31"/>
      <c r="V25" s="31"/>
      <c r="BB25"/>
      <c r="BC25"/>
      <c r="BD25"/>
      <c r="BE25"/>
    </row>
    <row r="26" spans="1:57" ht="11.45" customHeight="1">
      <c r="A26" s="325"/>
      <c r="B26" s="325" t="s">
        <v>130</v>
      </c>
      <c r="C26" s="325"/>
      <c r="D26" s="325"/>
      <c r="E26" s="343"/>
      <c r="F26" s="325"/>
      <c r="G26" s="327">
        <v>158.458</v>
      </c>
      <c r="H26" s="327"/>
      <c r="I26" s="328">
        <v>204.1</v>
      </c>
      <c r="J26" s="327"/>
      <c r="K26" s="327">
        <v>196.53100000000001</v>
      </c>
      <c r="L26" s="93"/>
      <c r="M26" s="93"/>
      <c r="N26" s="30"/>
      <c r="O26" s="30"/>
      <c r="P26" s="31"/>
      <c r="Q26" s="31"/>
      <c r="R26" s="119"/>
      <c r="S26" s="31"/>
      <c r="V26" s="31"/>
      <c r="BB26"/>
      <c r="BC26"/>
      <c r="BD26"/>
      <c r="BE26"/>
    </row>
    <row r="27" spans="1:57" ht="11.45" customHeight="1">
      <c r="A27" s="314"/>
      <c r="B27" s="314" t="s">
        <v>3</v>
      </c>
      <c r="C27" s="314"/>
      <c r="D27" s="314"/>
      <c r="E27" s="313"/>
      <c r="F27" s="314"/>
      <c r="G27" s="328">
        <f>19.034+0.02</f>
        <v>19.053999999999998</v>
      </c>
      <c r="H27" s="328"/>
      <c r="I27" s="328">
        <v>32.799999999999997</v>
      </c>
      <c r="J27" s="328"/>
      <c r="K27" s="328">
        <v>24.423999999999999</v>
      </c>
      <c r="L27" s="93"/>
      <c r="M27" s="93"/>
      <c r="N27" s="30"/>
      <c r="O27" s="30"/>
      <c r="P27" s="31"/>
      <c r="Q27" s="31"/>
      <c r="R27" s="119"/>
      <c r="S27" s="31"/>
      <c r="V27" s="31"/>
      <c r="BB27"/>
      <c r="BC27"/>
      <c r="BD27"/>
      <c r="BE27"/>
    </row>
    <row r="28" spans="1:57" ht="11.45" customHeight="1">
      <c r="A28" s="331"/>
      <c r="B28" s="331" t="s">
        <v>16</v>
      </c>
      <c r="C28" s="331"/>
      <c r="D28" s="325"/>
      <c r="E28" s="313"/>
      <c r="F28" s="325"/>
      <c r="G28" s="332">
        <f>SUM(G24:G27)</f>
        <v>271.12700000000001</v>
      </c>
      <c r="H28" s="327"/>
      <c r="I28" s="332">
        <f>SUM(I24:I27)</f>
        <v>310.40000000000003</v>
      </c>
      <c r="J28" s="328"/>
      <c r="K28" s="332">
        <f>SUM(K24:K27)</f>
        <v>298.35799999999995</v>
      </c>
      <c r="L28" s="93"/>
      <c r="M28" s="93"/>
      <c r="N28" s="30"/>
      <c r="O28" s="30"/>
      <c r="P28" s="31"/>
      <c r="Q28" s="31"/>
      <c r="R28" s="119"/>
      <c r="S28" s="31"/>
      <c r="V28" s="31"/>
      <c r="BB28"/>
      <c r="BC28"/>
      <c r="BD28"/>
      <c r="BE28"/>
    </row>
    <row r="29" spans="1:57" ht="11.45" customHeight="1">
      <c r="A29" s="325"/>
      <c r="B29" s="325" t="s">
        <v>10</v>
      </c>
      <c r="C29" s="325"/>
      <c r="D29" s="325"/>
      <c r="E29" s="326">
        <v>10</v>
      </c>
      <c r="F29" s="325"/>
      <c r="G29" s="327">
        <v>1326.146</v>
      </c>
      <c r="H29" s="327"/>
      <c r="I29" s="328">
        <v>1172</v>
      </c>
      <c r="J29" s="327"/>
      <c r="K29" s="327">
        <v>1099.9179999999999</v>
      </c>
      <c r="L29" s="93"/>
      <c r="M29" s="93"/>
      <c r="N29" s="30"/>
      <c r="O29" s="30"/>
      <c r="P29" s="90" t="s">
        <v>0</v>
      </c>
      <c r="Q29" s="31"/>
      <c r="R29" s="119"/>
      <c r="S29" s="31"/>
      <c r="V29" s="31"/>
      <c r="BB29"/>
      <c r="BC29"/>
      <c r="BD29"/>
      <c r="BE29"/>
    </row>
    <row r="30" spans="1:57" ht="11.45" customHeight="1">
      <c r="A30" s="325"/>
      <c r="B30" s="329" t="s">
        <v>27</v>
      </c>
      <c r="C30" s="329"/>
      <c r="D30" s="325"/>
      <c r="E30" s="318"/>
      <c r="F30" s="325"/>
      <c r="G30" s="327">
        <v>2.5609999999999999</v>
      </c>
      <c r="H30" s="327"/>
      <c r="I30" s="328">
        <v>12.9</v>
      </c>
      <c r="J30" s="327"/>
      <c r="K30" s="327">
        <v>1.6040000000000001</v>
      </c>
      <c r="L30" s="93"/>
      <c r="M30" s="93"/>
      <c r="N30" s="30"/>
      <c r="O30" s="30"/>
      <c r="P30" s="31"/>
      <c r="Q30" s="31"/>
      <c r="R30" s="119"/>
      <c r="S30" s="31"/>
      <c r="V30" s="31"/>
      <c r="BB30"/>
      <c r="BC30"/>
      <c r="BD30"/>
      <c r="BE30"/>
    </row>
    <row r="31" spans="1:57" ht="11.45" customHeight="1">
      <c r="A31" s="325"/>
      <c r="B31" s="325" t="s">
        <v>4</v>
      </c>
      <c r="C31" s="325"/>
      <c r="D31" s="325"/>
      <c r="E31" s="313"/>
      <c r="F31" s="325"/>
      <c r="G31" s="327">
        <v>102.971</v>
      </c>
      <c r="H31" s="327">
        <v>2</v>
      </c>
      <c r="I31" s="328">
        <v>58.3</v>
      </c>
      <c r="J31" s="327"/>
      <c r="K31" s="327">
        <v>50.451999999999998</v>
      </c>
      <c r="L31" s="93"/>
      <c r="M31" s="93"/>
      <c r="N31" s="30"/>
      <c r="O31" s="30"/>
      <c r="P31" s="31"/>
      <c r="Q31" s="31"/>
      <c r="R31" s="119"/>
      <c r="S31" s="31"/>
      <c r="V31" s="31"/>
      <c r="BB31"/>
      <c r="BC31"/>
      <c r="BD31"/>
      <c r="BE31"/>
    </row>
    <row r="32" spans="1:57" ht="11.45" customHeight="1">
      <c r="A32" s="331"/>
      <c r="B32" s="331" t="s">
        <v>25</v>
      </c>
      <c r="C32" s="331"/>
      <c r="D32" s="325"/>
      <c r="E32" s="313"/>
      <c r="F32" s="325"/>
      <c r="G32" s="332">
        <f>SUM(G29:G31)</f>
        <v>1431.6779999999999</v>
      </c>
      <c r="H32" s="328"/>
      <c r="I32" s="332">
        <f>SUM(I29:I31)</f>
        <v>1243.2</v>
      </c>
      <c r="J32" s="328"/>
      <c r="K32" s="332">
        <f>SUM(K29:K31)</f>
        <v>1151.9739999999999</v>
      </c>
      <c r="L32" s="93"/>
      <c r="M32" s="93"/>
      <c r="N32" s="30"/>
      <c r="O32" s="30"/>
      <c r="P32" s="31"/>
      <c r="Q32" s="31"/>
      <c r="R32" s="119"/>
      <c r="S32" s="31"/>
      <c r="V32" s="31"/>
      <c r="BB32"/>
      <c r="BC32"/>
      <c r="BD32"/>
      <c r="BE32"/>
    </row>
    <row r="33" spans="1:57" ht="11.45" customHeight="1">
      <c r="A33" s="347"/>
      <c r="B33" s="314" t="s">
        <v>37</v>
      </c>
      <c r="C33" s="314"/>
      <c r="D33" s="325"/>
      <c r="E33" s="313"/>
      <c r="F33" s="325"/>
      <c r="G33" s="328"/>
      <c r="H33" s="328"/>
      <c r="I33" s="328"/>
      <c r="J33" s="327"/>
      <c r="K33" s="327"/>
      <c r="L33" s="93"/>
      <c r="M33" s="93"/>
      <c r="N33" s="30"/>
      <c r="O33" s="30"/>
      <c r="P33" s="31"/>
      <c r="Q33" s="31"/>
      <c r="R33" s="119"/>
      <c r="S33" s="31"/>
      <c r="V33" s="31"/>
      <c r="BB33"/>
      <c r="BC33"/>
      <c r="BD33"/>
      <c r="BE33"/>
    </row>
    <row r="34" spans="1:57" ht="11.45" customHeight="1">
      <c r="A34" s="314"/>
      <c r="B34" s="314" t="s">
        <v>198</v>
      </c>
      <c r="C34" s="324"/>
      <c r="D34" s="325"/>
      <c r="E34" s="318"/>
      <c r="F34" s="325"/>
      <c r="G34" s="328">
        <f>Equity!D23</f>
        <v>104</v>
      </c>
      <c r="H34" s="328"/>
      <c r="I34" s="328">
        <v>96.5</v>
      </c>
      <c r="J34" s="327"/>
      <c r="K34" s="327">
        <v>104</v>
      </c>
      <c r="L34" s="93"/>
      <c r="M34" s="93"/>
      <c r="N34" s="30"/>
      <c r="O34" s="30"/>
      <c r="P34" s="31"/>
      <c r="Q34" s="31"/>
      <c r="R34" s="119"/>
      <c r="S34" s="31"/>
      <c r="V34" s="31"/>
      <c r="BB34"/>
      <c r="BC34"/>
      <c r="BD34"/>
      <c r="BE34"/>
    </row>
    <row r="35" spans="1:57" ht="11.45" customHeight="1">
      <c r="A35" s="324"/>
      <c r="B35" s="324" t="s">
        <v>38</v>
      </c>
      <c r="C35" s="324"/>
      <c r="D35" s="329"/>
      <c r="E35" s="318"/>
      <c r="F35" s="329"/>
      <c r="G35" s="328">
        <f>Equity!F23</f>
        <v>-0.90000000000000013</v>
      </c>
      <c r="H35" s="328"/>
      <c r="I35" s="328">
        <v>-1.7</v>
      </c>
      <c r="J35" s="327"/>
      <c r="K35" s="327">
        <v>-1.1000000000000001</v>
      </c>
      <c r="L35" s="93"/>
      <c r="M35" s="93"/>
      <c r="N35" s="30"/>
      <c r="O35" s="30"/>
      <c r="P35" s="31"/>
      <c r="Q35" s="31"/>
      <c r="R35" s="119"/>
      <c r="S35" s="31"/>
      <c r="V35" s="31"/>
      <c r="BB35"/>
      <c r="BC35"/>
      <c r="BD35"/>
      <c r="BE35"/>
    </row>
    <row r="36" spans="1:57" ht="11.45" customHeight="1">
      <c r="A36" s="333"/>
      <c r="B36" s="333" t="s">
        <v>23</v>
      </c>
      <c r="C36" s="333"/>
      <c r="D36" s="329"/>
      <c r="E36" s="318"/>
      <c r="F36" s="329"/>
      <c r="G36" s="335">
        <f>Equity!H23</f>
        <v>627.5</v>
      </c>
      <c r="H36" s="327"/>
      <c r="I36" s="335">
        <v>532.29999999999995</v>
      </c>
      <c r="J36" s="328"/>
      <c r="K36" s="335">
        <v>622.79999999999995</v>
      </c>
      <c r="L36" s="93"/>
      <c r="M36" s="93"/>
      <c r="N36" s="30"/>
      <c r="O36" s="30"/>
      <c r="P36" s="31"/>
      <c r="Q36" s="31"/>
      <c r="R36" s="119"/>
      <c r="S36" s="31"/>
      <c r="V36" s="31"/>
      <c r="BB36"/>
      <c r="BC36"/>
      <c r="BD36"/>
      <c r="BE36"/>
    </row>
    <row r="37" spans="1:57" ht="11.45" customHeight="1">
      <c r="A37" s="324" t="s">
        <v>0</v>
      </c>
      <c r="B37" s="324" t="s">
        <v>35</v>
      </c>
      <c r="C37" s="324"/>
      <c r="D37" s="329"/>
      <c r="E37" s="318"/>
      <c r="F37" s="329"/>
      <c r="G37" s="328">
        <f>SUM(G34:G36)</f>
        <v>730.6</v>
      </c>
      <c r="H37" s="327"/>
      <c r="I37" s="328">
        <f>SUM(I34:I36)</f>
        <v>627.09999999999991</v>
      </c>
      <c r="J37" s="327"/>
      <c r="K37" s="327">
        <f>SUM(K34:K36)</f>
        <v>725.69999999999993</v>
      </c>
      <c r="L37" s="93"/>
      <c r="M37" s="93"/>
      <c r="N37" s="30"/>
      <c r="O37" s="30"/>
      <c r="P37" s="31"/>
      <c r="Q37" s="31"/>
      <c r="R37" s="119"/>
      <c r="S37" s="31"/>
      <c r="V37" s="31"/>
      <c r="BB37"/>
      <c r="BC37"/>
      <c r="BD37"/>
      <c r="BE37"/>
    </row>
    <row r="38" spans="1:57" ht="11.45" customHeight="1">
      <c r="A38" s="324"/>
      <c r="B38" s="324" t="s">
        <v>24</v>
      </c>
      <c r="C38" s="324"/>
      <c r="D38" s="329"/>
      <c r="E38" s="318"/>
      <c r="F38" s="329"/>
      <c r="G38" s="328">
        <f>Equity!J23</f>
        <v>661.95644675999984</v>
      </c>
      <c r="H38" s="328"/>
      <c r="I38" s="328">
        <v>1127.0999999999999</v>
      </c>
      <c r="J38" s="327"/>
      <c r="K38" s="327">
        <v>799.9</v>
      </c>
      <c r="L38" s="93"/>
      <c r="M38" s="93"/>
      <c r="N38" s="30"/>
      <c r="O38" s="30"/>
      <c r="P38" s="31"/>
      <c r="Q38" s="31"/>
      <c r="R38" s="119"/>
      <c r="S38" s="31"/>
      <c r="V38" s="31"/>
      <c r="BB38"/>
      <c r="BC38"/>
      <c r="BD38"/>
      <c r="BE38"/>
    </row>
    <row r="39" spans="1:57" ht="11.45" customHeight="1">
      <c r="A39" s="324"/>
      <c r="B39" s="324" t="s">
        <v>120</v>
      </c>
      <c r="C39" s="324"/>
      <c r="D39" s="329"/>
      <c r="E39" s="318"/>
      <c r="F39" s="329"/>
      <c r="G39" s="328">
        <f>Equity!L23</f>
        <v>-106.9</v>
      </c>
      <c r="H39" s="328"/>
      <c r="I39" s="328">
        <v>-61.2</v>
      </c>
      <c r="J39" s="327"/>
      <c r="K39" s="327">
        <v>-61.9</v>
      </c>
      <c r="L39" s="93"/>
      <c r="M39" s="93"/>
      <c r="N39" s="30"/>
      <c r="O39" s="30"/>
      <c r="P39" s="31"/>
      <c r="Q39" s="31"/>
      <c r="R39" s="119"/>
      <c r="S39" s="31"/>
      <c r="V39" s="31"/>
      <c r="BB39"/>
      <c r="BC39"/>
      <c r="BD39"/>
      <c r="BE39"/>
    </row>
    <row r="40" spans="1:57" ht="11.45" customHeight="1">
      <c r="A40" s="331" t="s">
        <v>19</v>
      </c>
      <c r="B40" s="331"/>
      <c r="C40" s="331"/>
      <c r="D40" s="325"/>
      <c r="E40" s="326"/>
      <c r="F40" s="325"/>
      <c r="G40" s="332">
        <f>SUM(G37:G39)</f>
        <v>1285.6564467599997</v>
      </c>
      <c r="H40" s="328"/>
      <c r="I40" s="332">
        <f>SUM(I37:I39)</f>
        <v>1692.9999999999998</v>
      </c>
      <c r="J40" s="328"/>
      <c r="K40" s="332">
        <f>SUM(K37:K39)</f>
        <v>1463.6999999999998</v>
      </c>
      <c r="M40" s="30"/>
      <c r="N40" s="31"/>
      <c r="O40" s="31"/>
      <c r="P40" s="120"/>
      <c r="Q40" s="31"/>
      <c r="R40" s="31"/>
      <c r="S40" s="31"/>
      <c r="V40" s="31"/>
      <c r="AZ40"/>
      <c r="BA40"/>
      <c r="BB40"/>
      <c r="BC40"/>
      <c r="BD40"/>
      <c r="BE40"/>
    </row>
    <row r="41" spans="1:57" s="217" customFormat="1" ht="11.45" customHeight="1" thickBot="1">
      <c r="A41" s="338"/>
      <c r="B41" s="338" t="s">
        <v>20</v>
      </c>
      <c r="C41" s="338"/>
      <c r="D41" s="339"/>
      <c r="E41" s="320"/>
      <c r="F41" s="339"/>
      <c r="G41" s="340">
        <f>G32+G40+G28</f>
        <v>2988.4614467599995</v>
      </c>
      <c r="H41" s="341"/>
      <c r="I41" s="340">
        <f>I32+I40+I28</f>
        <v>3246.6</v>
      </c>
      <c r="J41" s="341"/>
      <c r="K41" s="340">
        <f>K32+K40+K28+0.1</f>
        <v>2914.1320000000001</v>
      </c>
      <c r="L41" s="213"/>
      <c r="M41" s="214"/>
      <c r="N41" s="215"/>
      <c r="O41" s="215"/>
      <c r="P41" s="216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</row>
    <row r="42" spans="1:57">
      <c r="A42" s="86"/>
      <c r="B42" s="1"/>
      <c r="C42" s="25"/>
      <c r="D42" s="25"/>
      <c r="E42" s="35"/>
      <c r="F42" s="25"/>
      <c r="G42" s="104"/>
      <c r="H42" s="24"/>
      <c r="J42" s="25"/>
      <c r="K42" s="24"/>
      <c r="M42" s="91"/>
      <c r="N42" s="91"/>
      <c r="O42" s="36"/>
      <c r="P42" s="30"/>
      <c r="Q42" s="30"/>
      <c r="R42" s="31"/>
      <c r="S42" s="31"/>
      <c r="T42" s="119"/>
      <c r="V42" s="31"/>
      <c r="BD42"/>
      <c r="BE42"/>
    </row>
    <row r="43" spans="1:57">
      <c r="A43" s="1"/>
      <c r="B43" s="1"/>
      <c r="C43" s="1"/>
      <c r="D43" s="1"/>
      <c r="E43" s="4"/>
      <c r="F43" s="1"/>
      <c r="G43" s="117"/>
      <c r="H43" s="17"/>
      <c r="I43" s="17"/>
      <c r="J43" s="1"/>
      <c r="K43" s="17"/>
      <c r="L43" s="17"/>
      <c r="M43" s="37"/>
      <c r="N43" s="37"/>
      <c r="O43" s="7"/>
      <c r="P43" s="30"/>
      <c r="Q43" s="30"/>
      <c r="R43" s="31"/>
      <c r="S43" s="31"/>
      <c r="T43" s="119"/>
      <c r="V43" s="31"/>
      <c r="BD43"/>
      <c r="BE43"/>
    </row>
    <row r="44" spans="1:57">
      <c r="A44" s="1"/>
      <c r="B44" s="1"/>
      <c r="C44" s="1"/>
      <c r="D44" s="1"/>
      <c r="E44" s="4"/>
      <c r="F44" s="1"/>
      <c r="G44" s="131"/>
      <c r="H44" s="17"/>
      <c r="I44" s="17"/>
      <c r="J44" s="1"/>
      <c r="K44" s="17"/>
      <c r="L44" s="17"/>
      <c r="M44" s="17"/>
      <c r="N44" s="37"/>
      <c r="O44" s="37"/>
      <c r="P44" s="37"/>
      <c r="Q44" s="7"/>
    </row>
    <row r="45" spans="1:57">
      <c r="A45" s="1"/>
      <c r="B45" s="1"/>
      <c r="C45" s="1"/>
      <c r="D45" s="1"/>
      <c r="E45" s="4"/>
      <c r="F45" s="1"/>
      <c r="G45" s="1"/>
      <c r="H45" s="17"/>
      <c r="I45" s="17"/>
      <c r="J45" s="1"/>
      <c r="K45" s="17"/>
      <c r="L45" s="17"/>
      <c r="M45" s="17"/>
      <c r="N45" s="37"/>
      <c r="O45" s="37"/>
      <c r="P45" s="37"/>
      <c r="Q45" s="7"/>
    </row>
    <row r="46" spans="1:57">
      <c r="A46" s="1"/>
      <c r="B46" s="1"/>
      <c r="C46" s="1"/>
      <c r="D46" s="1"/>
      <c r="E46" s="4"/>
      <c r="F46" s="1"/>
      <c r="G46" s="1"/>
      <c r="H46" s="17"/>
      <c r="I46" s="17"/>
      <c r="J46" s="1"/>
      <c r="K46" s="17"/>
      <c r="L46" s="17"/>
      <c r="M46" s="17"/>
      <c r="N46" s="37"/>
      <c r="O46" s="37"/>
      <c r="P46" s="37"/>
      <c r="Q46" s="7"/>
    </row>
    <row r="47" spans="1:57">
      <c r="A47" s="1"/>
      <c r="B47" s="1"/>
      <c r="C47" s="1"/>
      <c r="D47" s="1"/>
      <c r="E47" s="4"/>
      <c r="F47" s="1"/>
      <c r="G47" s="1"/>
      <c r="H47" s="17"/>
      <c r="I47" s="17"/>
      <c r="J47" s="1"/>
      <c r="K47" s="17"/>
      <c r="L47" s="17"/>
      <c r="M47" s="17"/>
      <c r="N47" s="37"/>
      <c r="O47" s="37"/>
      <c r="P47" s="37"/>
      <c r="Q47" s="7"/>
    </row>
    <row r="48" spans="1:57">
      <c r="A48" s="1"/>
      <c r="B48" s="1"/>
      <c r="C48" s="1"/>
      <c r="D48" s="1"/>
      <c r="E48" s="4"/>
      <c r="F48" s="1"/>
      <c r="G48" s="1"/>
      <c r="H48" s="17"/>
      <c r="I48" s="17"/>
      <c r="J48" s="1"/>
      <c r="K48" s="17"/>
      <c r="L48" s="17"/>
      <c r="M48" s="17"/>
      <c r="N48" s="37"/>
      <c r="O48" s="37"/>
      <c r="P48" s="37"/>
      <c r="Q48" s="1"/>
    </row>
    <row r="49" spans="1:19">
      <c r="A49" s="1"/>
      <c r="B49" s="1"/>
      <c r="C49" s="1"/>
      <c r="D49" s="1"/>
      <c r="E49" s="4"/>
      <c r="F49" s="1"/>
      <c r="G49" s="1"/>
      <c r="H49" s="17"/>
      <c r="I49" s="17"/>
      <c r="J49" s="1"/>
      <c r="K49" s="17"/>
      <c r="L49" s="17"/>
      <c r="M49" s="17"/>
      <c r="N49" s="92"/>
      <c r="O49" s="92"/>
      <c r="P49" s="92"/>
      <c r="Q49" s="17"/>
      <c r="R49" s="18"/>
      <c r="S49" s="18"/>
    </row>
    <row r="50" spans="1:19">
      <c r="A50" s="1"/>
      <c r="B50" s="1"/>
      <c r="C50" s="1"/>
      <c r="D50" s="1"/>
      <c r="E50" s="4"/>
      <c r="F50" s="1"/>
      <c r="G50" s="1"/>
      <c r="H50" s="17"/>
      <c r="I50" s="17"/>
      <c r="J50" s="1"/>
      <c r="K50" s="17"/>
      <c r="L50" s="17"/>
      <c r="M50" s="17"/>
      <c r="N50" s="92"/>
      <c r="O50" s="92"/>
      <c r="P50" s="92"/>
      <c r="Q50" s="17"/>
      <c r="R50" s="18"/>
      <c r="S50" s="18"/>
    </row>
    <row r="51" spans="1:19">
      <c r="A51" s="1"/>
      <c r="B51" s="1"/>
      <c r="C51" s="1"/>
      <c r="D51" s="1"/>
      <c r="E51" s="4"/>
      <c r="F51" s="1"/>
      <c r="G51" s="1"/>
      <c r="H51" s="17"/>
      <c r="I51" s="17"/>
      <c r="J51" s="1"/>
      <c r="K51" s="17"/>
      <c r="L51" s="17"/>
      <c r="M51" s="17"/>
      <c r="N51" s="92"/>
      <c r="O51" s="92"/>
      <c r="P51" s="92"/>
      <c r="Q51" s="17"/>
      <c r="R51" s="18"/>
      <c r="S51" s="18"/>
    </row>
    <row r="52" spans="1:19">
      <c r="A52" s="1"/>
      <c r="B52" s="1"/>
      <c r="C52" s="1"/>
      <c r="D52" s="1"/>
      <c r="E52" s="4"/>
      <c r="F52" s="1"/>
      <c r="G52" s="1"/>
      <c r="H52" s="17"/>
      <c r="I52" s="17"/>
      <c r="J52" s="1"/>
      <c r="K52" s="17"/>
      <c r="L52" s="17"/>
      <c r="M52" s="17"/>
      <c r="N52" s="92"/>
      <c r="O52" s="92"/>
      <c r="P52" s="92"/>
      <c r="Q52" s="17"/>
      <c r="R52" s="18"/>
      <c r="S52" s="18"/>
    </row>
    <row r="53" spans="1:19">
      <c r="A53" s="1"/>
      <c r="B53" s="1"/>
      <c r="C53" s="1"/>
      <c r="D53" s="1"/>
      <c r="E53" s="4"/>
      <c r="F53" s="1"/>
      <c r="G53" s="1"/>
      <c r="H53" s="17"/>
      <c r="I53" s="17"/>
      <c r="J53" s="1"/>
      <c r="K53" s="17"/>
      <c r="L53" s="17"/>
      <c r="M53" s="17"/>
      <c r="N53" s="92"/>
      <c r="O53" s="92"/>
      <c r="P53" s="92"/>
      <c r="Q53" s="17"/>
      <c r="R53" s="18"/>
      <c r="S53" s="18"/>
    </row>
  </sheetData>
  <mergeCells count="2">
    <mergeCell ref="G3:I3"/>
    <mergeCell ref="A1:M1"/>
  </mergeCells>
  <phoneticPr fontId="0" type="noConversion"/>
  <printOptions horizontalCentered="1"/>
  <pageMargins left="0.51181102362204722" right="0" top="0.39370078740157483" bottom="1.7716535433070868" header="0.31496062992125984" footer="0.2362204724409449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69"/>
  <sheetViews>
    <sheetView showGridLines="0" zoomScaleNormal="100" workbookViewId="0">
      <selection sqref="A1:P1"/>
    </sheetView>
  </sheetViews>
  <sheetFormatPr defaultColWidth="9.140625" defaultRowHeight="12.75"/>
  <cols>
    <col min="1" max="1" width="2.140625" style="45" customWidth="1"/>
    <col min="2" max="2" width="0.7109375" style="45" customWidth="1"/>
    <col min="3" max="3" width="1.28515625" style="45" customWidth="1"/>
    <col min="4" max="4" width="62.28515625" style="45" customWidth="1"/>
    <col min="5" max="5" width="1.7109375" style="45" customWidth="1"/>
    <col min="6" max="6" width="12.28515625" style="45" customWidth="1"/>
    <col min="7" max="7" width="1.140625" style="45" customWidth="1"/>
    <col min="8" max="8" width="12.28515625" style="45" customWidth="1"/>
    <col min="9" max="9" width="1.7109375" style="45" customWidth="1"/>
    <col min="10" max="10" width="10.85546875" style="45" customWidth="1"/>
    <col min="11" max="11" width="2.5703125" style="45" customWidth="1"/>
    <col min="12" max="12" width="9.42578125" style="45" customWidth="1"/>
    <col min="13" max="13" width="3.28515625" style="45" customWidth="1"/>
    <col min="14" max="14" width="14.42578125" style="45" customWidth="1"/>
    <col min="15" max="15" width="3.85546875" style="45" customWidth="1"/>
    <col min="16" max="17" width="1.140625" style="45" customWidth="1"/>
    <col min="18" max="18" width="12.28515625" style="45" customWidth="1"/>
    <col min="19" max="19" width="1.140625" style="45" customWidth="1"/>
    <col min="20" max="16384" width="9.140625" style="45"/>
  </cols>
  <sheetData>
    <row r="1" spans="1:24" s="1" customFormat="1" ht="18.75">
      <c r="A1" s="551" t="s">
        <v>101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110"/>
      <c r="R1" s="110"/>
      <c r="S1" s="110"/>
      <c r="T1" s="8"/>
      <c r="U1" s="128"/>
      <c r="V1" s="8"/>
      <c r="W1" s="8"/>
      <c r="X1" s="8"/>
    </row>
    <row r="2" spans="1:24" s="1" customFormat="1" ht="11.25" customHeight="1" thickBot="1">
      <c r="A2" s="192"/>
      <c r="B2" s="192"/>
      <c r="C2" s="192"/>
      <c r="D2" s="192"/>
      <c r="E2" s="192"/>
      <c r="F2" s="206"/>
      <c r="G2" s="206"/>
      <c r="H2" s="207"/>
      <c r="I2" s="192"/>
      <c r="J2" s="192"/>
      <c r="K2" s="192"/>
      <c r="L2" s="192"/>
      <c r="M2" s="192"/>
      <c r="N2" s="206"/>
      <c r="O2" s="207"/>
      <c r="P2" s="207"/>
      <c r="Q2" s="87"/>
      <c r="R2" s="87"/>
      <c r="S2" s="132"/>
      <c r="T2" s="8"/>
      <c r="U2" s="128"/>
      <c r="V2" s="8"/>
      <c r="W2" s="8"/>
      <c r="X2" s="8"/>
    </row>
    <row r="3" spans="1:24" s="43" customFormat="1" ht="11.45" customHeight="1">
      <c r="A3" s="150"/>
      <c r="B3" s="150"/>
      <c r="C3" s="150"/>
      <c r="D3" s="150"/>
      <c r="E3" s="150"/>
      <c r="F3" s="552" t="s">
        <v>6</v>
      </c>
      <c r="G3" s="552"/>
      <c r="H3" s="552"/>
      <c r="I3" s="150"/>
      <c r="J3" s="552" t="s">
        <v>233</v>
      </c>
      <c r="K3" s="552"/>
      <c r="L3" s="552"/>
      <c r="M3" s="404"/>
      <c r="N3" s="552" t="s">
        <v>21</v>
      </c>
      <c r="O3" s="552"/>
      <c r="P3" s="162"/>
      <c r="Q3" s="47"/>
      <c r="R3" s="47"/>
      <c r="S3" s="46"/>
    </row>
    <row r="4" spans="1:24" ht="11.45" customHeight="1">
      <c r="A4" s="150"/>
      <c r="B4" s="150"/>
      <c r="C4" s="150"/>
      <c r="D4" s="163"/>
      <c r="E4" s="163"/>
      <c r="F4" s="553" t="s">
        <v>232</v>
      </c>
      <c r="G4" s="553"/>
      <c r="H4" s="553"/>
      <c r="I4" s="163"/>
      <c r="J4" s="553" t="s">
        <v>232</v>
      </c>
      <c r="K4" s="553"/>
      <c r="L4" s="553"/>
      <c r="M4" s="483"/>
      <c r="N4" s="553" t="s">
        <v>205</v>
      </c>
      <c r="O4" s="553"/>
      <c r="P4" s="164"/>
      <c r="Q4" s="137"/>
      <c r="R4" s="137"/>
      <c r="S4" s="46"/>
    </row>
    <row r="5" spans="1:24" ht="11.45" customHeight="1" thickBot="1">
      <c r="A5" s="165" t="s">
        <v>106</v>
      </c>
      <c r="B5" s="161"/>
      <c r="C5" s="161"/>
      <c r="D5" s="166"/>
      <c r="E5" s="163"/>
      <c r="F5" s="167">
        <v>2016</v>
      </c>
      <c r="G5" s="161"/>
      <c r="H5" s="167">
        <v>2015</v>
      </c>
      <c r="I5" s="163"/>
      <c r="J5" s="167">
        <v>2016</v>
      </c>
      <c r="K5" s="161"/>
      <c r="L5" s="167">
        <v>2015</v>
      </c>
      <c r="M5" s="147"/>
      <c r="N5" s="167">
        <v>2015</v>
      </c>
      <c r="O5" s="161"/>
      <c r="P5" s="167"/>
      <c r="Q5" s="96"/>
      <c r="R5" s="96"/>
      <c r="S5" s="46"/>
    </row>
    <row r="6" spans="1:24" ht="11.45" customHeight="1">
      <c r="A6" s="168"/>
      <c r="B6" s="168"/>
      <c r="C6" s="168"/>
      <c r="D6" s="168"/>
      <c r="E6" s="168"/>
      <c r="F6" s="169" t="s">
        <v>0</v>
      </c>
      <c r="G6" s="169"/>
      <c r="H6" s="169"/>
      <c r="I6" s="168"/>
      <c r="J6" s="168"/>
      <c r="K6" s="168"/>
      <c r="L6" s="168"/>
      <c r="M6" s="168"/>
      <c r="N6" s="169"/>
      <c r="O6" s="169"/>
      <c r="P6" s="169"/>
      <c r="Q6" s="95"/>
      <c r="R6" s="95"/>
      <c r="S6" s="95"/>
    </row>
    <row r="7" spans="1:24" ht="11.45" customHeight="1">
      <c r="A7" s="170"/>
      <c r="B7" s="171" t="s">
        <v>180</v>
      </c>
      <c r="C7" s="172"/>
      <c r="D7" s="172"/>
      <c r="E7" s="173"/>
      <c r="F7" s="157">
        <f>'IS &amp; OCI'!F22</f>
        <v>-29.03555323999996</v>
      </c>
      <c r="G7" s="211"/>
      <c r="H7" s="157">
        <f>'IS &amp; OCI'!H22</f>
        <v>-110</v>
      </c>
      <c r="I7" s="173"/>
      <c r="J7" s="537">
        <f>'IS &amp; OCI'!J22</f>
        <v>-137.74355324000004</v>
      </c>
      <c r="K7" s="173"/>
      <c r="L7" s="157">
        <v>-193.3</v>
      </c>
      <c r="M7" s="173"/>
      <c r="N7" s="157">
        <v>-527.9</v>
      </c>
      <c r="O7" s="211"/>
      <c r="P7" s="157"/>
      <c r="Q7" s="99"/>
      <c r="R7" s="99"/>
      <c r="S7" s="106"/>
    </row>
    <row r="8" spans="1:24" ht="11.45" customHeight="1">
      <c r="A8" s="170"/>
      <c r="B8" s="168"/>
      <c r="C8" s="172" t="s">
        <v>194</v>
      </c>
      <c r="D8" s="175"/>
      <c r="E8" s="173"/>
      <c r="F8" s="357">
        <v>127.3</v>
      </c>
      <c r="G8" s="176"/>
      <c r="H8" s="158">
        <v>171.4</v>
      </c>
      <c r="I8" s="173"/>
      <c r="J8" s="422">
        <f>218.2+F8</f>
        <v>345.5</v>
      </c>
      <c r="K8" s="173"/>
      <c r="L8" s="422">
        <v>451.4</v>
      </c>
      <c r="M8" s="173"/>
      <c r="N8" s="158">
        <v>865.8</v>
      </c>
      <c r="O8" s="176"/>
      <c r="P8" s="158"/>
      <c r="Q8" s="97"/>
      <c r="R8" s="97"/>
      <c r="S8" s="103"/>
    </row>
    <row r="9" spans="1:24" ht="11.45" customHeight="1">
      <c r="A9" s="168"/>
      <c r="B9" s="168"/>
      <c r="C9" s="177" t="s">
        <v>219</v>
      </c>
      <c r="D9" s="175"/>
      <c r="E9" s="178"/>
      <c r="F9" s="158">
        <f>-'IS &amp; OCI'!F17</f>
        <v>-2.391</v>
      </c>
      <c r="G9" s="176"/>
      <c r="H9" s="158">
        <v>-0.8</v>
      </c>
      <c r="I9" s="178"/>
      <c r="J9" s="424">
        <f>26.308+F9</f>
        <v>23.917000000000002</v>
      </c>
      <c r="K9" s="178"/>
      <c r="L9" s="423">
        <v>9.1999999999999993</v>
      </c>
      <c r="M9" s="178"/>
      <c r="N9" s="158">
        <v>16.100000000000001</v>
      </c>
      <c r="O9" s="176"/>
      <c r="P9" s="158"/>
      <c r="Q9" s="97"/>
      <c r="R9" s="97"/>
      <c r="S9" s="103"/>
    </row>
    <row r="10" spans="1:24" ht="11.45" customHeight="1">
      <c r="A10" s="168"/>
      <c r="B10" s="168"/>
      <c r="C10" s="172" t="s">
        <v>13</v>
      </c>
      <c r="D10" s="175"/>
      <c r="E10" s="168"/>
      <c r="F10" s="158">
        <f>-'IS &amp; OCI'!F18</f>
        <v>13.925999999999998</v>
      </c>
      <c r="G10" s="176"/>
      <c r="H10" s="158">
        <v>6.9</v>
      </c>
      <c r="I10" s="168"/>
      <c r="J10" s="448">
        <f>17.8+F10</f>
        <v>31.725999999999999</v>
      </c>
      <c r="K10" s="168"/>
      <c r="L10" s="412">
        <v>22.2</v>
      </c>
      <c r="M10" s="168"/>
      <c r="N10" s="158">
        <v>29.5</v>
      </c>
      <c r="O10" s="176"/>
      <c r="P10" s="158"/>
      <c r="Q10" s="97"/>
      <c r="R10" s="97"/>
      <c r="S10" s="103"/>
    </row>
    <row r="11" spans="1:24" ht="11.45" customHeight="1">
      <c r="A11" s="170"/>
      <c r="B11" s="168"/>
      <c r="C11" s="172" t="s">
        <v>193</v>
      </c>
      <c r="D11" s="175"/>
      <c r="E11" s="178"/>
      <c r="F11" s="357">
        <v>1.2</v>
      </c>
      <c r="G11" s="176"/>
      <c r="H11" s="158">
        <v>0.6</v>
      </c>
      <c r="I11" s="178"/>
      <c r="J11" s="423">
        <f>1.8+F11</f>
        <v>3</v>
      </c>
      <c r="K11" s="178"/>
      <c r="L11" s="423">
        <v>-2.1</v>
      </c>
      <c r="M11" s="178"/>
      <c r="N11" s="158">
        <v>0.3</v>
      </c>
      <c r="O11" s="176"/>
      <c r="P11" s="158"/>
      <c r="Q11" s="97"/>
      <c r="R11" s="97"/>
      <c r="S11" s="103"/>
    </row>
    <row r="12" spans="1:24" ht="11.45" customHeight="1">
      <c r="A12" s="170"/>
      <c r="B12" s="168"/>
      <c r="C12" s="175" t="s">
        <v>89</v>
      </c>
      <c r="D12" s="175"/>
      <c r="E12" s="178"/>
      <c r="F12" s="357">
        <v>-1.8</v>
      </c>
      <c r="G12" s="176"/>
      <c r="H12" s="158">
        <v>-4.5</v>
      </c>
      <c r="I12" s="178"/>
      <c r="J12" s="423">
        <f>-4.3+F12</f>
        <v>-6.1</v>
      </c>
      <c r="K12" s="178"/>
      <c r="L12" s="423">
        <v>-20.9</v>
      </c>
      <c r="M12" s="178"/>
      <c r="N12" s="158">
        <v>-25.2</v>
      </c>
      <c r="O12" s="176"/>
      <c r="P12" s="158"/>
      <c r="Q12" s="97"/>
      <c r="R12" s="97"/>
      <c r="S12" s="103"/>
    </row>
    <row r="13" spans="1:24" ht="11.45" customHeight="1">
      <c r="A13" s="170"/>
      <c r="B13" s="168"/>
      <c r="C13" s="172" t="s">
        <v>88</v>
      </c>
      <c r="D13" s="175"/>
      <c r="E13" s="178"/>
      <c r="F13" s="357">
        <v>0.9</v>
      </c>
      <c r="G13" s="176"/>
      <c r="H13" s="158">
        <v>1.4</v>
      </c>
      <c r="I13" s="178"/>
      <c r="J13" s="423">
        <f>6.1+F13</f>
        <v>7</v>
      </c>
      <c r="K13" s="178"/>
      <c r="L13" s="423">
        <v>9.1</v>
      </c>
      <c r="M13" s="178"/>
      <c r="N13" s="158">
        <v>14.5</v>
      </c>
      <c r="O13" s="176"/>
      <c r="P13" s="158"/>
      <c r="Q13" s="97"/>
      <c r="R13" s="97"/>
      <c r="S13" s="103"/>
    </row>
    <row r="14" spans="1:24" ht="11.45" customHeight="1">
      <c r="A14" s="170"/>
      <c r="B14" s="168"/>
      <c r="C14" s="172" t="s">
        <v>98</v>
      </c>
      <c r="D14" s="175"/>
      <c r="E14" s="179"/>
      <c r="F14" s="357">
        <v>-32.200000000000003</v>
      </c>
      <c r="G14" s="176"/>
      <c r="H14" s="158">
        <v>-12.6</v>
      </c>
      <c r="I14" s="179"/>
      <c r="J14" s="424">
        <f>50.2+F14</f>
        <v>18</v>
      </c>
      <c r="K14" s="179"/>
      <c r="L14" s="424">
        <v>143.69999999999999</v>
      </c>
      <c r="M14" s="179"/>
      <c r="N14" s="158">
        <v>172.1</v>
      </c>
      <c r="O14" s="176"/>
      <c r="P14" s="158"/>
      <c r="Q14" s="97"/>
      <c r="R14" s="97"/>
      <c r="S14" s="97"/>
    </row>
    <row r="15" spans="1:24" ht="11.45" customHeight="1">
      <c r="A15" s="170"/>
      <c r="B15" s="168"/>
      <c r="C15" s="172" t="s">
        <v>87</v>
      </c>
      <c r="D15" s="175"/>
      <c r="E15" s="178"/>
      <c r="F15" s="357">
        <v>-3.3</v>
      </c>
      <c r="G15" s="176"/>
      <c r="H15" s="158">
        <v>-20.9</v>
      </c>
      <c r="I15" s="178"/>
      <c r="J15" s="423">
        <f>13.4+F15</f>
        <v>10.100000000000001</v>
      </c>
      <c r="K15" s="178"/>
      <c r="L15" s="423">
        <v>-29.9</v>
      </c>
      <c r="M15" s="178"/>
      <c r="N15" s="158">
        <v>-33.9</v>
      </c>
      <c r="O15" s="176"/>
      <c r="P15" s="158"/>
      <c r="Q15" s="97"/>
      <c r="R15" s="97"/>
      <c r="S15" s="103"/>
    </row>
    <row r="16" spans="1:24" ht="11.45" customHeight="1">
      <c r="A16" s="170"/>
      <c r="B16" s="168"/>
      <c r="C16" s="172" t="s">
        <v>131</v>
      </c>
      <c r="D16" s="175"/>
      <c r="E16" s="178"/>
      <c r="F16" s="357">
        <f>1.9</f>
        <v>1.9</v>
      </c>
      <c r="G16" s="176"/>
      <c r="H16" s="158">
        <v>17.2</v>
      </c>
      <c r="I16" s="178"/>
      <c r="J16" s="424">
        <f>-27.4+F16</f>
        <v>-25.5</v>
      </c>
      <c r="K16" s="178"/>
      <c r="L16" s="423">
        <v>-26.3</v>
      </c>
      <c r="M16" s="178"/>
      <c r="N16" s="158">
        <v>0.4</v>
      </c>
      <c r="O16" s="176"/>
      <c r="P16" s="158"/>
      <c r="Q16" s="97"/>
      <c r="R16" s="97"/>
      <c r="S16" s="97"/>
    </row>
    <row r="17" spans="1:19" ht="11.45" customHeight="1">
      <c r="A17" s="170"/>
      <c r="B17" s="168"/>
      <c r="C17" s="172" t="s">
        <v>103</v>
      </c>
      <c r="D17" s="175"/>
      <c r="E17" s="178"/>
      <c r="F17" s="357">
        <v>3.9</v>
      </c>
      <c r="G17" s="176"/>
      <c r="H17" s="158">
        <v>22.6</v>
      </c>
      <c r="I17" s="178"/>
      <c r="J17" s="424">
        <f>-17.7+F17+0.1</f>
        <v>-13.7</v>
      </c>
      <c r="K17" s="178"/>
      <c r="L17" s="423">
        <v>3.7</v>
      </c>
      <c r="M17" s="178"/>
      <c r="N17" s="158">
        <v>-23.6</v>
      </c>
      <c r="O17" s="176"/>
      <c r="P17" s="158"/>
      <c r="Q17" s="97"/>
      <c r="R17" s="97"/>
      <c r="S17" s="103"/>
    </row>
    <row r="18" spans="1:19" ht="11.45" customHeight="1">
      <c r="A18" s="180"/>
      <c r="B18" s="181" t="s">
        <v>173</v>
      </c>
      <c r="C18" s="181"/>
      <c r="D18" s="182"/>
      <c r="E18" s="183"/>
      <c r="F18" s="361">
        <f>SUM(F7:F17)</f>
        <v>80.39944676000006</v>
      </c>
      <c r="G18" s="211"/>
      <c r="H18" s="160">
        <f>SUM(H7:H17)</f>
        <v>71.300000000000011</v>
      </c>
      <c r="I18" s="183"/>
      <c r="J18" s="160">
        <f>SUM(J7:J17)</f>
        <v>256.19944675999994</v>
      </c>
      <c r="K18" s="183"/>
      <c r="L18" s="160">
        <f>SUM(L7:L17)-0.1</f>
        <v>366.69999999999993</v>
      </c>
      <c r="M18" s="183"/>
      <c r="N18" s="160">
        <f>SUM(N7:N17)-0.2</f>
        <v>487.90000000000003</v>
      </c>
      <c r="O18" s="211"/>
      <c r="P18" s="157"/>
      <c r="Q18" s="99"/>
      <c r="R18" s="99"/>
      <c r="S18" s="100"/>
    </row>
    <row r="19" spans="1:19" ht="11.45" customHeight="1">
      <c r="A19" s="170"/>
      <c r="B19" s="173" t="s">
        <v>86</v>
      </c>
      <c r="C19" s="173"/>
      <c r="D19" s="173"/>
      <c r="E19" s="185"/>
      <c r="F19" s="357">
        <v>-63</v>
      </c>
      <c r="G19" s="174"/>
      <c r="H19" s="158">
        <v>-95.5</v>
      </c>
      <c r="I19" s="185"/>
      <c r="J19" s="420">
        <f>-90.1+F19</f>
        <v>-153.1</v>
      </c>
      <c r="K19" s="185"/>
      <c r="L19" s="416">
        <v>-233.1</v>
      </c>
      <c r="M19" s="185"/>
      <c r="N19" s="158">
        <v>-303.3</v>
      </c>
      <c r="O19" s="174"/>
      <c r="P19" s="158"/>
      <c r="Q19" s="97"/>
      <c r="R19" s="97"/>
      <c r="S19" s="100"/>
    </row>
    <row r="20" spans="1:19" ht="11.45" customHeight="1">
      <c r="A20" s="170"/>
      <c r="B20" s="173" t="s">
        <v>99</v>
      </c>
      <c r="C20" s="173"/>
      <c r="D20" s="173"/>
      <c r="E20" s="185"/>
      <c r="F20" s="357">
        <v>-10.9</v>
      </c>
      <c r="G20" s="174"/>
      <c r="H20" s="158">
        <v>-13.8</v>
      </c>
      <c r="I20" s="185"/>
      <c r="J20" s="416">
        <f>-181.4+F20</f>
        <v>-192.3</v>
      </c>
      <c r="K20" s="185"/>
      <c r="L20" s="416">
        <v>-116.7</v>
      </c>
      <c r="M20" s="185"/>
      <c r="N20" s="158">
        <v>-164</v>
      </c>
      <c r="O20" s="174"/>
      <c r="P20" s="158"/>
      <c r="Q20" s="426"/>
      <c r="R20" s="426"/>
      <c r="S20" s="100"/>
    </row>
    <row r="21" spans="1:19" ht="11.45" customHeight="1">
      <c r="A21" s="170"/>
      <c r="B21" s="173" t="s">
        <v>85</v>
      </c>
      <c r="C21" s="173"/>
      <c r="D21" s="168"/>
      <c r="E21" s="185"/>
      <c r="F21" s="357">
        <v>-2.2000000000000002</v>
      </c>
      <c r="G21" s="174"/>
      <c r="H21" s="158">
        <v>-6</v>
      </c>
      <c r="I21" s="185"/>
      <c r="J21" s="416">
        <f>-5.4+F21</f>
        <v>-7.6000000000000005</v>
      </c>
      <c r="K21" s="185"/>
      <c r="L21" s="416">
        <v>-14.5</v>
      </c>
      <c r="M21" s="185"/>
      <c r="N21" s="158">
        <v>-19</v>
      </c>
      <c r="O21" s="174"/>
      <c r="P21" s="158"/>
      <c r="Q21" s="97"/>
      <c r="R21" s="97"/>
      <c r="S21" s="100"/>
    </row>
    <row r="22" spans="1:19" ht="11.45" customHeight="1">
      <c r="A22" s="170"/>
      <c r="B22" s="173" t="s">
        <v>104</v>
      </c>
      <c r="C22" s="173"/>
      <c r="D22" s="143"/>
      <c r="E22" s="185"/>
      <c r="F22" s="357">
        <v>0</v>
      </c>
      <c r="G22" s="174"/>
      <c r="H22" s="158">
        <v>0.8</v>
      </c>
      <c r="I22" s="185"/>
      <c r="J22" s="416">
        <f>-93.1+F22</f>
        <v>-93.1</v>
      </c>
      <c r="K22" s="185"/>
      <c r="L22" s="416">
        <v>-15.2</v>
      </c>
      <c r="M22" s="185"/>
      <c r="N22" s="158">
        <v>-24.2</v>
      </c>
      <c r="O22" s="174"/>
      <c r="P22" s="158"/>
      <c r="Q22" s="97"/>
      <c r="R22" s="97"/>
      <c r="S22" s="99"/>
    </row>
    <row r="23" spans="1:19" ht="11.45" customHeight="1">
      <c r="A23" s="170"/>
      <c r="B23" s="143" t="s">
        <v>129</v>
      </c>
      <c r="C23" s="143"/>
      <c r="D23" s="143"/>
      <c r="E23" s="185"/>
      <c r="F23" s="357">
        <v>1.5</v>
      </c>
      <c r="G23" s="174"/>
      <c r="H23" s="158">
        <v>3</v>
      </c>
      <c r="I23" s="185"/>
      <c r="J23" s="416">
        <f>+F23+0.03</f>
        <v>1.53</v>
      </c>
      <c r="K23" s="185"/>
      <c r="L23" s="416">
        <v>87.1</v>
      </c>
      <c r="M23" s="185"/>
      <c r="N23" s="158">
        <v>88.6</v>
      </c>
      <c r="O23" s="174"/>
      <c r="P23" s="158"/>
      <c r="Q23" s="97"/>
      <c r="R23" s="97"/>
      <c r="S23" s="99"/>
    </row>
    <row r="24" spans="1:19" ht="11.45" customHeight="1">
      <c r="A24" s="186"/>
      <c r="B24" s="173" t="s">
        <v>127</v>
      </c>
      <c r="C24" s="173"/>
      <c r="D24" s="173"/>
      <c r="E24" s="185"/>
      <c r="F24" s="357">
        <v>-1.7</v>
      </c>
      <c r="G24" s="174"/>
      <c r="H24" s="158">
        <v>-0.9</v>
      </c>
      <c r="I24" s="185"/>
      <c r="J24" s="416">
        <f>-1.7+F24+0.03</f>
        <v>-3.37</v>
      </c>
      <c r="K24" s="185"/>
      <c r="L24" s="416">
        <v>-3</v>
      </c>
      <c r="M24" s="185"/>
      <c r="N24" s="158">
        <v>-5</v>
      </c>
      <c r="O24" s="174"/>
      <c r="P24" s="158"/>
      <c r="Q24" s="97"/>
      <c r="R24" s="97"/>
      <c r="S24" s="100"/>
    </row>
    <row r="25" spans="1:19" ht="11.45" customHeight="1">
      <c r="A25" s="180"/>
      <c r="B25" s="181" t="s">
        <v>128</v>
      </c>
      <c r="C25" s="182"/>
      <c r="D25" s="181"/>
      <c r="E25" s="183"/>
      <c r="F25" s="361">
        <f>SUM(F19:F24)</f>
        <v>-76.300000000000011</v>
      </c>
      <c r="G25" s="211"/>
      <c r="H25" s="160">
        <f>SUM(H19:H24)</f>
        <v>-112.4</v>
      </c>
      <c r="I25" s="183"/>
      <c r="J25" s="160">
        <f>SUM(J19:J24)</f>
        <v>-447.94000000000005</v>
      </c>
      <c r="K25" s="183"/>
      <c r="L25" s="160">
        <f>SUM(L19:L24)</f>
        <v>-295.39999999999998</v>
      </c>
      <c r="M25" s="183"/>
      <c r="N25" s="160">
        <f>SUM(N19:N24)</f>
        <v>-426.9</v>
      </c>
      <c r="O25" s="211"/>
      <c r="P25" s="157"/>
      <c r="Q25" s="99"/>
      <c r="R25" s="99"/>
      <c r="S25" s="100"/>
    </row>
    <row r="26" spans="1:19" ht="11.45" customHeight="1">
      <c r="A26" s="186"/>
      <c r="B26" s="187" t="s">
        <v>110</v>
      </c>
      <c r="C26" s="187"/>
      <c r="D26" s="187"/>
      <c r="E26" s="185"/>
      <c r="F26" s="370">
        <v>0</v>
      </c>
      <c r="G26" s="174"/>
      <c r="H26" s="158">
        <v>37.700000000000003</v>
      </c>
      <c r="I26" s="185"/>
      <c r="J26" s="416">
        <f>112.8+F26</f>
        <v>112.8</v>
      </c>
      <c r="K26" s="185"/>
      <c r="L26" s="416">
        <v>37.700000000000003</v>
      </c>
      <c r="M26" s="185"/>
      <c r="N26" s="158">
        <v>35.799999999999997</v>
      </c>
      <c r="O26" s="174"/>
      <c r="P26" s="158"/>
      <c r="Q26" s="97"/>
      <c r="R26" s="97"/>
      <c r="S26" s="100"/>
    </row>
    <row r="27" spans="1:19" ht="11.45" customHeight="1">
      <c r="A27" s="186"/>
      <c r="B27" s="187" t="s">
        <v>175</v>
      </c>
      <c r="C27" s="187"/>
      <c r="D27" s="187"/>
      <c r="E27" s="188"/>
      <c r="F27" s="370">
        <v>-10.5</v>
      </c>
      <c r="G27" s="159"/>
      <c r="H27" s="158">
        <v>-6.2</v>
      </c>
      <c r="I27" s="188"/>
      <c r="J27" s="420">
        <f>-14.8+F27</f>
        <v>-25.3</v>
      </c>
      <c r="K27" s="188"/>
      <c r="L27" s="420">
        <v>-18.600000000000001</v>
      </c>
      <c r="M27" s="188"/>
      <c r="N27" s="158">
        <v>-24.8</v>
      </c>
      <c r="O27" s="159"/>
      <c r="P27" s="158"/>
      <c r="Q27" s="97"/>
      <c r="R27" s="97"/>
      <c r="S27" s="99"/>
    </row>
    <row r="28" spans="1:19" ht="11.45" customHeight="1">
      <c r="A28" s="186"/>
      <c r="B28" s="187" t="s">
        <v>133</v>
      </c>
      <c r="C28" s="187"/>
      <c r="D28" s="187"/>
      <c r="E28" s="188"/>
      <c r="F28" s="357">
        <v>40</v>
      </c>
      <c r="G28" s="159"/>
      <c r="H28" s="158">
        <v>40</v>
      </c>
      <c r="I28" s="188"/>
      <c r="J28" s="420">
        <f>95+F28</f>
        <v>135</v>
      </c>
      <c r="K28" s="188"/>
      <c r="L28" s="420">
        <v>-10</v>
      </c>
      <c r="M28" s="188"/>
      <c r="N28" s="158">
        <v>-75</v>
      </c>
      <c r="O28" s="159"/>
      <c r="P28" s="158"/>
      <c r="Q28" s="97"/>
      <c r="R28" s="97"/>
      <c r="S28" s="99"/>
    </row>
    <row r="29" spans="1:19" ht="11.45" hidden="1" customHeight="1">
      <c r="A29" s="186"/>
      <c r="B29" s="187" t="s">
        <v>84</v>
      </c>
      <c r="C29" s="187"/>
      <c r="D29" s="143"/>
      <c r="E29" s="185"/>
      <c r="F29" s="357">
        <v>0</v>
      </c>
      <c r="G29" s="174"/>
      <c r="H29" s="158">
        <v>0</v>
      </c>
      <c r="I29" s="185"/>
      <c r="J29" s="416"/>
      <c r="K29" s="185"/>
      <c r="L29" s="416"/>
      <c r="M29" s="185"/>
      <c r="N29" s="158">
        <v>0</v>
      </c>
      <c r="O29" s="174"/>
      <c r="P29" s="158"/>
      <c r="Q29" s="97"/>
      <c r="R29" s="97"/>
      <c r="S29" s="100"/>
    </row>
    <row r="30" spans="1:19" ht="11.45" customHeight="1">
      <c r="A30" s="170"/>
      <c r="B30" s="187" t="s">
        <v>199</v>
      </c>
      <c r="C30" s="187"/>
      <c r="D30" s="143"/>
      <c r="E30" s="185"/>
      <c r="F30" s="357">
        <v>0</v>
      </c>
      <c r="G30" s="176"/>
      <c r="H30" s="158">
        <v>0</v>
      </c>
      <c r="I30" s="185"/>
      <c r="J30" s="416">
        <f>+F30</f>
        <v>0</v>
      </c>
      <c r="K30" s="185"/>
      <c r="L30" s="416">
        <v>0</v>
      </c>
      <c r="M30" s="185"/>
      <c r="N30" s="158">
        <v>104.2</v>
      </c>
      <c r="O30" s="176"/>
      <c r="P30" s="158"/>
      <c r="Q30" s="97"/>
      <c r="R30" s="97"/>
      <c r="S30" s="103"/>
    </row>
    <row r="31" spans="1:19" ht="11.45" customHeight="1">
      <c r="A31" s="170"/>
      <c r="B31" s="187" t="s">
        <v>92</v>
      </c>
      <c r="C31" s="187"/>
      <c r="D31" s="143"/>
      <c r="E31" s="185"/>
      <c r="F31" s="357">
        <v>0</v>
      </c>
      <c r="G31" s="176"/>
      <c r="H31" s="158">
        <v>0</v>
      </c>
      <c r="I31" s="185"/>
      <c r="J31" s="416">
        <f>+F31</f>
        <v>0</v>
      </c>
      <c r="K31" s="185"/>
      <c r="L31" s="416">
        <v>-20.3</v>
      </c>
      <c r="M31" s="185"/>
      <c r="N31" s="158">
        <v>-20.3</v>
      </c>
      <c r="O31" s="176"/>
      <c r="P31" s="158"/>
      <c r="Q31" s="97"/>
      <c r="R31" s="97"/>
      <c r="S31" s="103"/>
    </row>
    <row r="32" spans="1:19" ht="11.45" customHeight="1">
      <c r="A32" s="170"/>
      <c r="B32" s="187" t="s">
        <v>83</v>
      </c>
      <c r="C32" s="187"/>
      <c r="D32" s="187"/>
      <c r="E32" s="185"/>
      <c r="F32" s="357">
        <v>-6.1</v>
      </c>
      <c r="G32" s="176"/>
      <c r="H32" s="158">
        <v>-5.7</v>
      </c>
      <c r="I32" s="185"/>
      <c r="J32" s="416">
        <f>-29+F32</f>
        <v>-35.1</v>
      </c>
      <c r="K32" s="185"/>
      <c r="L32" s="416">
        <v>-32.5</v>
      </c>
      <c r="M32" s="185"/>
      <c r="N32" s="158">
        <v>-54</v>
      </c>
      <c r="O32" s="176"/>
      <c r="P32" s="158"/>
      <c r="Q32" s="97"/>
      <c r="R32" s="97"/>
      <c r="S32" s="103"/>
    </row>
    <row r="33" spans="1:19" ht="11.45" customHeight="1">
      <c r="A33" s="180"/>
      <c r="B33" s="181" t="s">
        <v>100</v>
      </c>
      <c r="C33" s="182"/>
      <c r="D33" s="181"/>
      <c r="E33" s="183"/>
      <c r="F33" s="361">
        <f>SUM(F26:F32)</f>
        <v>23.4</v>
      </c>
      <c r="G33" s="211"/>
      <c r="H33" s="361">
        <f>SUM(H26:H32)</f>
        <v>65.8</v>
      </c>
      <c r="I33" s="183"/>
      <c r="J33" s="361">
        <f>SUM(J26:J32)</f>
        <v>187.4</v>
      </c>
      <c r="K33" s="183"/>
      <c r="L33" s="361">
        <f>SUM(L26:L32)</f>
        <v>-43.7</v>
      </c>
      <c r="M33" s="183"/>
      <c r="N33" s="160">
        <f>SUM(N26:N32)</f>
        <v>-34.099999999999994</v>
      </c>
      <c r="O33" s="211"/>
      <c r="P33" s="157"/>
      <c r="Q33" s="99"/>
      <c r="R33" s="99"/>
      <c r="S33" s="100"/>
    </row>
    <row r="34" spans="1:19" ht="11.45" customHeight="1">
      <c r="A34" s="186"/>
      <c r="B34" s="173" t="s">
        <v>176</v>
      </c>
      <c r="C34" s="173"/>
      <c r="D34" s="186"/>
      <c r="E34" s="183"/>
      <c r="F34" s="158">
        <v>27.6</v>
      </c>
      <c r="G34" s="174"/>
      <c r="H34" s="158">
        <f>+H33+H25+H18</f>
        <v>24.700000000000003</v>
      </c>
      <c r="I34" s="183"/>
      <c r="J34" s="158">
        <f>+J33+J25+J18</f>
        <v>-4.3405532400001334</v>
      </c>
      <c r="K34" s="183"/>
      <c r="L34" s="158">
        <f>+L33+L25+L18</f>
        <v>27.599999999999966</v>
      </c>
      <c r="M34" s="183"/>
      <c r="N34" s="158">
        <f>+N33+N25+N18</f>
        <v>26.900000000000034</v>
      </c>
      <c r="O34" s="174"/>
      <c r="P34" s="158"/>
      <c r="Q34" s="97"/>
      <c r="R34" s="97"/>
      <c r="S34" s="100"/>
    </row>
    <row r="35" spans="1:19" ht="11.45" customHeight="1">
      <c r="A35" s="186"/>
      <c r="B35" s="173" t="s">
        <v>82</v>
      </c>
      <c r="C35" s="173"/>
      <c r="D35" s="186"/>
      <c r="E35" s="183"/>
      <c r="F35" s="158">
        <v>49.7</v>
      </c>
      <c r="G35" s="174"/>
      <c r="H35" s="158">
        <v>57.6</v>
      </c>
      <c r="I35" s="183"/>
      <c r="J35" s="425">
        <f>N36</f>
        <v>81.600000000000037</v>
      </c>
      <c r="K35" s="183"/>
      <c r="L35" s="418">
        <v>54.7</v>
      </c>
      <c r="M35" s="183"/>
      <c r="N35" s="158">
        <v>54.7</v>
      </c>
      <c r="O35" s="174"/>
      <c r="P35" s="158"/>
      <c r="Q35" s="97"/>
      <c r="R35" s="97"/>
      <c r="S35" s="100"/>
    </row>
    <row r="36" spans="1:19" ht="11.45" customHeight="1" thickBot="1">
      <c r="A36" s="189" t="s">
        <v>81</v>
      </c>
      <c r="B36" s="189"/>
      <c r="C36" s="189"/>
      <c r="D36" s="189"/>
      <c r="E36" s="183"/>
      <c r="F36" s="190">
        <f>SUM(F34:F35)</f>
        <v>77.300000000000011</v>
      </c>
      <c r="G36" s="191"/>
      <c r="H36" s="190">
        <f>SUM(H34:H35)</f>
        <v>82.300000000000011</v>
      </c>
      <c r="I36" s="183"/>
      <c r="J36" s="190">
        <f>SUM(J34:J35)</f>
        <v>77.259446759999904</v>
      </c>
      <c r="K36" s="183"/>
      <c r="L36" s="190">
        <f>SUM(L34:L35)</f>
        <v>82.299999999999969</v>
      </c>
      <c r="M36" s="183"/>
      <c r="N36" s="190">
        <f>SUM(N34:N35)</f>
        <v>81.600000000000037</v>
      </c>
      <c r="O36" s="191"/>
      <c r="P36" s="157"/>
      <c r="Q36" s="102"/>
      <c r="R36" s="102"/>
      <c r="S36" s="111"/>
    </row>
    <row r="37" spans="1:19">
      <c r="A37" s="1"/>
      <c r="B37" s="2" t="s">
        <v>0</v>
      </c>
      <c r="C37" s="2"/>
      <c r="D37" s="2"/>
      <c r="E37" s="2"/>
      <c r="F37" s="2"/>
      <c r="G37" s="2"/>
      <c r="H37" s="32"/>
      <c r="I37" s="2"/>
      <c r="J37" s="2"/>
      <c r="K37" s="2"/>
      <c r="L37" s="2"/>
      <c r="M37" s="2"/>
      <c r="N37" s="2"/>
      <c r="O37" s="32"/>
      <c r="P37" s="2"/>
      <c r="Q37" s="2"/>
      <c r="R37" s="2"/>
      <c r="S37" s="2"/>
    </row>
    <row r="38" spans="1:19">
      <c r="A38" s="43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2"/>
      <c r="S38" s="85"/>
    </row>
    <row r="39" spans="1:19" hidden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85"/>
      <c r="S39" s="43"/>
    </row>
    <row r="40" spans="1:19">
      <c r="A40" s="43" t="s">
        <v>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>
      <c r="A41" s="43" t="s">
        <v>0</v>
      </c>
      <c r="B41" s="43"/>
      <c r="C41" s="43"/>
      <c r="D41" s="43"/>
      <c r="E41" s="43"/>
      <c r="F41" s="43"/>
      <c r="G41" s="43"/>
      <c r="H41" s="43"/>
      <c r="I41" s="43"/>
      <c r="J41" s="75"/>
      <c r="K41" s="43"/>
      <c r="L41" s="43"/>
      <c r="M41" s="43"/>
      <c r="N41" s="43"/>
      <c r="O41" s="43"/>
      <c r="P41" s="43"/>
      <c r="Q41" s="43"/>
      <c r="R41" s="43"/>
      <c r="S41" s="43"/>
    </row>
    <row r="42" spans="1:19">
      <c r="A42" s="43"/>
      <c r="B42" s="43"/>
      <c r="C42" s="43"/>
      <c r="D42" s="43" t="s">
        <v>115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>
      <c r="R69" s="43"/>
    </row>
  </sheetData>
  <mergeCells count="7">
    <mergeCell ref="N3:O3"/>
    <mergeCell ref="N4:O4"/>
    <mergeCell ref="A1:P1"/>
    <mergeCell ref="F3:H3"/>
    <mergeCell ref="F4:H4"/>
    <mergeCell ref="J3:L3"/>
    <mergeCell ref="J4:L4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67" orientation="portrait" r:id="rId1"/>
  <headerFooter alignWithMargins="0"/>
  <colBreaks count="1" manualBreakCount="1">
    <brk id="17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3"/>
  <sheetViews>
    <sheetView showGridLines="0" zoomScaleNormal="100" workbookViewId="0">
      <selection sqref="A1:N1"/>
    </sheetView>
  </sheetViews>
  <sheetFormatPr defaultColWidth="9.140625" defaultRowHeight="12.75"/>
  <cols>
    <col min="1" max="1" width="2.5703125" style="45" customWidth="1"/>
    <col min="2" max="2" width="41.5703125" style="45" customWidth="1"/>
    <col min="3" max="3" width="1.7109375" style="45" customWidth="1"/>
    <col min="4" max="4" width="9.5703125" style="45" customWidth="1"/>
    <col min="5" max="5" width="1.7109375" style="45" customWidth="1"/>
    <col min="6" max="6" width="8.85546875" style="45" customWidth="1"/>
    <col min="7" max="7" width="1.7109375" style="45" customWidth="1"/>
    <col min="8" max="8" width="8.7109375" style="45" customWidth="1"/>
    <col min="9" max="9" width="1.7109375" style="45" customWidth="1"/>
    <col min="10" max="10" width="10.85546875" style="45" bestFit="1" customWidth="1"/>
    <col min="11" max="11" width="1.7109375" style="45" customWidth="1"/>
    <col min="12" max="12" width="12.85546875" style="45" customWidth="1"/>
    <col min="13" max="13" width="1.7109375" style="45" customWidth="1"/>
    <col min="14" max="14" width="9.28515625" style="45" customWidth="1"/>
    <col min="15" max="15" width="1.7109375" style="45" customWidth="1"/>
    <col min="16" max="16" width="11.7109375" style="45" customWidth="1"/>
    <col min="17" max="18" width="9.140625" style="45"/>
    <col min="19" max="19" width="11.140625" style="45" bestFit="1" customWidth="1"/>
    <col min="20" max="16384" width="9.140625" style="45"/>
  </cols>
  <sheetData>
    <row r="1" spans="1:26" s="1" customFormat="1" ht="18.75">
      <c r="A1" s="551" t="s">
        <v>125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110"/>
      <c r="P1" s="110"/>
      <c r="Q1" s="110"/>
      <c r="R1" s="9"/>
      <c r="S1" s="118"/>
      <c r="T1" s="8"/>
      <c r="U1" s="8"/>
      <c r="V1" s="8"/>
      <c r="W1" s="128"/>
      <c r="X1" s="8"/>
      <c r="Y1" s="8"/>
      <c r="Z1" s="8"/>
    </row>
    <row r="2" spans="1:26" s="1" customFormat="1" ht="11.25" customHeight="1" thickBot="1">
      <c r="A2" s="192"/>
      <c r="B2" s="192"/>
      <c r="C2" s="192"/>
      <c r="D2" s="192"/>
      <c r="E2" s="192"/>
      <c r="F2" s="206"/>
      <c r="G2" s="206"/>
      <c r="H2" s="207"/>
      <c r="I2" s="207"/>
      <c r="J2" s="207"/>
      <c r="K2" s="310"/>
      <c r="L2" s="310"/>
      <c r="M2" s="311"/>
      <c r="N2" s="311"/>
      <c r="O2" s="87"/>
      <c r="P2" s="87"/>
      <c r="Q2" s="87"/>
      <c r="R2" s="20"/>
      <c r="S2" s="120"/>
      <c r="T2" s="8"/>
      <c r="U2" s="8"/>
      <c r="V2" s="8"/>
      <c r="W2" s="128"/>
      <c r="X2" s="8"/>
      <c r="Y2" s="8"/>
      <c r="Z2" s="8"/>
    </row>
    <row r="3" spans="1:26" ht="18.75">
      <c r="A3" s="402" t="s">
        <v>234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26" ht="11.45" customHeight="1">
      <c r="A4" s="54" t="s">
        <v>0</v>
      </c>
      <c r="B4" s="54"/>
      <c r="C4" s="54"/>
      <c r="D4" s="556" t="s">
        <v>90</v>
      </c>
      <c r="E4" s="556"/>
      <c r="F4" s="556"/>
      <c r="G4" s="556"/>
      <c r="H4" s="556"/>
      <c r="I4" s="556"/>
      <c r="J4" s="556"/>
      <c r="K4" s="556"/>
      <c r="L4" s="556"/>
      <c r="M4" s="147"/>
      <c r="N4" s="147"/>
      <c r="O4" s="54"/>
      <c r="P4" s="54"/>
    </row>
    <row r="5" spans="1:26" ht="11.45" customHeight="1">
      <c r="A5" s="43"/>
      <c r="B5" s="43"/>
      <c r="C5" s="44"/>
      <c r="D5" s="148" t="s">
        <v>60</v>
      </c>
      <c r="E5" s="148"/>
      <c r="F5" s="149" t="s">
        <v>59</v>
      </c>
      <c r="G5" s="149"/>
      <c r="H5" s="148" t="s">
        <v>58</v>
      </c>
      <c r="I5" s="150"/>
      <c r="J5" s="148"/>
      <c r="K5" s="148" t="s">
        <v>0</v>
      </c>
      <c r="L5" s="149" t="s">
        <v>121</v>
      </c>
      <c r="M5" s="149"/>
      <c r="N5" s="149"/>
      <c r="O5" s="71"/>
      <c r="P5" s="72"/>
      <c r="Q5" s="43"/>
      <c r="R5" s="43"/>
      <c r="S5" s="43"/>
      <c r="V5" s="43"/>
    </row>
    <row r="6" spans="1:26" ht="11.45" customHeight="1">
      <c r="A6" s="43"/>
      <c r="B6" s="43"/>
      <c r="C6" s="44"/>
      <c r="D6" s="151" t="s">
        <v>56</v>
      </c>
      <c r="E6" s="151"/>
      <c r="F6" s="149" t="s">
        <v>55</v>
      </c>
      <c r="G6" s="149"/>
      <c r="H6" s="148" t="s">
        <v>54</v>
      </c>
      <c r="I6" s="150"/>
      <c r="J6" s="148" t="s">
        <v>57</v>
      </c>
      <c r="K6" s="148" t="s">
        <v>0</v>
      </c>
      <c r="L6" s="149" t="s">
        <v>122</v>
      </c>
      <c r="M6" s="149"/>
      <c r="N6" s="149" t="s">
        <v>52</v>
      </c>
      <c r="O6" s="71"/>
      <c r="P6" s="71"/>
      <c r="Q6" s="43"/>
      <c r="R6" s="43"/>
      <c r="S6" s="43"/>
      <c r="V6" s="43"/>
    </row>
    <row r="7" spans="1:26" ht="11.45" customHeight="1">
      <c r="A7" s="146" t="s">
        <v>107</v>
      </c>
      <c r="B7" s="67"/>
      <c r="C7" s="44"/>
      <c r="D7" s="152" t="s">
        <v>51</v>
      </c>
      <c r="E7" s="153"/>
      <c r="F7" s="152" t="s">
        <v>51</v>
      </c>
      <c r="G7" s="154"/>
      <c r="H7" s="152" t="s">
        <v>50</v>
      </c>
      <c r="I7" s="154"/>
      <c r="J7" s="155" t="s">
        <v>53</v>
      </c>
      <c r="K7" s="153" t="s">
        <v>0</v>
      </c>
      <c r="L7" s="152" t="s">
        <v>123</v>
      </c>
      <c r="M7" s="154"/>
      <c r="N7" s="152" t="s">
        <v>49</v>
      </c>
      <c r="O7" s="69"/>
      <c r="P7" s="70"/>
      <c r="Q7" s="43"/>
      <c r="R7" s="43"/>
      <c r="S7" s="43"/>
      <c r="T7" s="43"/>
      <c r="U7" s="43"/>
      <c r="V7" s="43"/>
    </row>
    <row r="8" spans="1:26" s="66" customFormat="1" ht="11.45" customHeight="1">
      <c r="A8" s="141" t="s">
        <v>164</v>
      </c>
      <c r="B8" s="141"/>
      <c r="C8" s="49"/>
      <c r="D8" s="156">
        <v>96.5</v>
      </c>
      <c r="E8" s="156" t="s">
        <v>0</v>
      </c>
      <c r="F8" s="156">
        <v>-1.9</v>
      </c>
      <c r="G8" s="156" t="s">
        <v>0</v>
      </c>
      <c r="H8" s="156">
        <v>526.9</v>
      </c>
      <c r="I8" s="156" t="s">
        <v>0</v>
      </c>
      <c r="J8" s="156">
        <v>1340.9</v>
      </c>
      <c r="K8" s="156" t="s">
        <v>0</v>
      </c>
      <c r="L8" s="156">
        <v>-60.8</v>
      </c>
      <c r="M8" s="156" t="s">
        <v>0</v>
      </c>
      <c r="N8" s="157">
        <f t="shared" ref="N8:N22" si="0">SUM(D8:L8)</f>
        <v>1901.6000000000001</v>
      </c>
      <c r="O8" s="123"/>
      <c r="P8" s="102"/>
      <c r="Q8" s="49"/>
      <c r="R8" s="49"/>
      <c r="S8" s="49"/>
      <c r="T8" s="49"/>
      <c r="U8" s="49"/>
      <c r="V8" s="49"/>
    </row>
    <row r="9" spans="1:26" s="50" customFormat="1" ht="11.45" customHeight="1">
      <c r="A9" s="142"/>
      <c r="B9" s="143" t="s">
        <v>48</v>
      </c>
      <c r="C9" s="51"/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-193.3</v>
      </c>
      <c r="K9" s="158"/>
      <c r="L9" s="158">
        <v>-0.4</v>
      </c>
      <c r="M9" s="158">
        <v>1.3</v>
      </c>
      <c r="N9" s="159">
        <f t="shared" si="0"/>
        <v>-193.70000000000002</v>
      </c>
      <c r="O9" s="121"/>
      <c r="P9" s="99"/>
      <c r="Q9" s="68"/>
      <c r="R9" s="53"/>
      <c r="S9" s="53"/>
      <c r="T9" s="53"/>
      <c r="U9" s="53"/>
      <c r="V9" s="53"/>
    </row>
    <row r="10" spans="1:26" s="50" customFormat="1" ht="11.45" customHeight="1">
      <c r="A10" s="142"/>
      <c r="B10" s="143" t="s">
        <v>228</v>
      </c>
      <c r="C10" s="51"/>
      <c r="D10" s="158">
        <v>0</v>
      </c>
      <c r="E10" s="158"/>
      <c r="F10" s="158">
        <v>0</v>
      </c>
      <c r="G10" s="158"/>
      <c r="H10" s="158">
        <v>0</v>
      </c>
      <c r="I10" s="158"/>
      <c r="J10" s="158">
        <v>-20.3</v>
      </c>
      <c r="K10" s="158"/>
      <c r="L10" s="158">
        <v>0</v>
      </c>
      <c r="M10" s="158"/>
      <c r="N10" s="159">
        <f t="shared" si="0"/>
        <v>-20.3</v>
      </c>
      <c r="O10" s="121"/>
      <c r="P10" s="99"/>
      <c r="Q10" s="68"/>
      <c r="R10" s="53"/>
      <c r="S10" s="53"/>
      <c r="T10" s="53"/>
      <c r="U10" s="53"/>
      <c r="V10" s="53"/>
    </row>
    <row r="11" spans="1:26" s="50" customFormat="1" ht="11.45" customHeight="1">
      <c r="A11" s="142"/>
      <c r="B11" s="144" t="s">
        <v>118</v>
      </c>
      <c r="C11" s="51"/>
      <c r="D11" s="158">
        <v>0</v>
      </c>
      <c r="E11" s="158">
        <v>0</v>
      </c>
      <c r="F11" s="158">
        <v>0.2</v>
      </c>
      <c r="G11" s="158">
        <v>0</v>
      </c>
      <c r="H11" s="158">
        <v>5.4</v>
      </c>
      <c r="I11" s="158">
        <v>0</v>
      </c>
      <c r="J11" s="158">
        <v>-0.22</v>
      </c>
      <c r="K11" s="158">
        <v>0</v>
      </c>
      <c r="L11" s="158">
        <v>0</v>
      </c>
      <c r="M11" s="158">
        <v>0</v>
      </c>
      <c r="N11" s="159">
        <f t="shared" si="0"/>
        <v>5.3800000000000008</v>
      </c>
      <c r="O11" s="121"/>
      <c r="P11" s="99"/>
      <c r="Q11" s="68"/>
      <c r="R11" s="53"/>
      <c r="S11" s="53"/>
      <c r="T11" s="53"/>
      <c r="U11" s="53"/>
      <c r="V11" s="53"/>
    </row>
    <row r="12" spans="1:26" s="66" customFormat="1" ht="11.45" customHeight="1">
      <c r="A12" s="145" t="s">
        <v>236</v>
      </c>
      <c r="B12" s="145"/>
      <c r="C12" s="49"/>
      <c r="D12" s="160">
        <f>SUM(D8:D11)</f>
        <v>96.5</v>
      </c>
      <c r="E12" s="157"/>
      <c r="F12" s="160">
        <f>SUM(F8:F11)</f>
        <v>-1.7</v>
      </c>
      <c r="G12" s="157"/>
      <c r="H12" s="160">
        <f>SUM(H8:H11)</f>
        <v>532.29999999999995</v>
      </c>
      <c r="I12" s="157"/>
      <c r="J12" s="160">
        <f>SUM(J8:J11)</f>
        <v>1127.0800000000002</v>
      </c>
      <c r="K12" s="157"/>
      <c r="L12" s="160">
        <f>SUM(L8:L11)</f>
        <v>-61.199999999999996</v>
      </c>
      <c r="M12" s="157"/>
      <c r="N12" s="160">
        <f>SUM(D12:L12)</f>
        <v>1692.98</v>
      </c>
      <c r="O12" s="123"/>
      <c r="P12" s="102"/>
      <c r="Q12" s="49"/>
      <c r="R12" s="49"/>
      <c r="S12" s="49"/>
      <c r="T12" s="49"/>
      <c r="U12" s="49"/>
      <c r="V12" s="49"/>
    </row>
    <row r="13" spans="1:26" s="66" customFormat="1" ht="11.45" customHeight="1">
      <c r="A13" s="482" t="s">
        <v>229</v>
      </c>
      <c r="B13" s="141"/>
      <c r="C13" s="49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23"/>
      <c r="P13" s="102"/>
      <c r="Q13" s="49"/>
      <c r="R13" s="49"/>
      <c r="S13" s="49"/>
      <c r="T13" s="49"/>
      <c r="U13" s="49"/>
      <c r="V13" s="49"/>
    </row>
    <row r="14" spans="1:26" s="127" customFormat="1" ht="11.45" customHeight="1">
      <c r="A14" s="86"/>
      <c r="B14" s="126"/>
      <c r="C14" s="126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26"/>
      <c r="R14" s="126"/>
      <c r="S14" s="126"/>
      <c r="T14" s="126"/>
      <c r="U14" s="126"/>
      <c r="V14" s="126"/>
    </row>
    <row r="15" spans="1:26" s="66" customFormat="1" ht="11.45" customHeight="1">
      <c r="A15" s="402" t="s">
        <v>235</v>
      </c>
      <c r="B15" s="49"/>
      <c r="C15" s="49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  <c r="T15" s="49"/>
      <c r="U15" s="49"/>
      <c r="V15" s="49"/>
    </row>
    <row r="16" spans="1:26" ht="11.45" customHeight="1">
      <c r="A16" s="54" t="s">
        <v>0</v>
      </c>
      <c r="B16" s="54"/>
      <c r="C16" s="54"/>
      <c r="D16" s="556" t="s">
        <v>90</v>
      </c>
      <c r="E16" s="556"/>
      <c r="F16" s="556"/>
      <c r="G16" s="556"/>
      <c r="H16" s="556"/>
      <c r="I16" s="556"/>
      <c r="J16" s="556"/>
      <c r="K16" s="556"/>
      <c r="L16" s="556"/>
      <c r="M16" s="147"/>
      <c r="N16" s="147"/>
      <c r="O16" s="54"/>
      <c r="P16" s="54"/>
    </row>
    <row r="17" spans="1:22" ht="11.45" customHeight="1">
      <c r="A17" s="43"/>
      <c r="B17" s="43"/>
      <c r="C17" s="44"/>
      <c r="D17" s="148" t="s">
        <v>60</v>
      </c>
      <c r="E17" s="148"/>
      <c r="F17" s="149" t="s">
        <v>59</v>
      </c>
      <c r="G17" s="149"/>
      <c r="H17" s="148" t="s">
        <v>58</v>
      </c>
      <c r="I17" s="150"/>
      <c r="J17" s="148"/>
      <c r="K17" s="148" t="s">
        <v>0</v>
      </c>
      <c r="L17" s="149" t="s">
        <v>121</v>
      </c>
      <c r="M17" s="149"/>
      <c r="N17" s="149"/>
      <c r="O17" s="71"/>
      <c r="P17" s="72"/>
      <c r="Q17" s="43"/>
      <c r="R17" s="43"/>
      <c r="S17" s="43"/>
      <c r="V17" s="43"/>
    </row>
    <row r="18" spans="1:22" ht="11.45" customHeight="1">
      <c r="A18" s="43"/>
      <c r="B18" s="43"/>
      <c r="C18" s="44"/>
      <c r="D18" s="151" t="s">
        <v>56</v>
      </c>
      <c r="E18" s="151"/>
      <c r="F18" s="149" t="s">
        <v>55</v>
      </c>
      <c r="G18" s="149"/>
      <c r="H18" s="148" t="s">
        <v>54</v>
      </c>
      <c r="I18" s="150"/>
      <c r="J18" s="148" t="s">
        <v>57</v>
      </c>
      <c r="K18" s="148" t="s">
        <v>0</v>
      </c>
      <c r="L18" s="149" t="s">
        <v>122</v>
      </c>
      <c r="M18" s="149"/>
      <c r="N18" s="149" t="s">
        <v>52</v>
      </c>
      <c r="O18" s="71"/>
      <c r="P18" s="71"/>
      <c r="Q18" s="43"/>
      <c r="R18" s="43"/>
      <c r="S18" s="129"/>
      <c r="V18" s="43"/>
    </row>
    <row r="19" spans="1:22" ht="11.45" customHeight="1">
      <c r="A19" s="146" t="s">
        <v>107</v>
      </c>
      <c r="B19" s="67"/>
      <c r="C19" s="44"/>
      <c r="D19" s="152" t="s">
        <v>51</v>
      </c>
      <c r="E19" s="153"/>
      <c r="F19" s="152" t="s">
        <v>51</v>
      </c>
      <c r="G19" s="154"/>
      <c r="H19" s="152" t="s">
        <v>50</v>
      </c>
      <c r="I19" s="154"/>
      <c r="J19" s="155" t="s">
        <v>53</v>
      </c>
      <c r="K19" s="153" t="s">
        <v>0</v>
      </c>
      <c r="L19" s="152" t="s">
        <v>123</v>
      </c>
      <c r="M19" s="154"/>
      <c r="N19" s="152" t="s">
        <v>49</v>
      </c>
      <c r="O19" s="69"/>
      <c r="P19" s="70"/>
      <c r="Q19" s="43"/>
      <c r="R19" s="43"/>
      <c r="S19" s="129"/>
      <c r="T19" s="43"/>
      <c r="U19" s="43"/>
      <c r="V19" s="43"/>
    </row>
    <row r="20" spans="1:22" s="66" customFormat="1" ht="11.45" customHeight="1">
      <c r="A20" s="141" t="s">
        <v>206</v>
      </c>
      <c r="B20" s="141"/>
      <c r="C20" s="141"/>
      <c r="D20" s="156">
        <v>104</v>
      </c>
      <c r="E20" s="156">
        <v>0</v>
      </c>
      <c r="F20" s="156">
        <v>-1.1000000000000001</v>
      </c>
      <c r="G20" s="156">
        <v>0</v>
      </c>
      <c r="H20" s="156">
        <v>622.79999999999995</v>
      </c>
      <c r="I20" s="156">
        <v>0</v>
      </c>
      <c r="J20" s="156">
        <v>799.9</v>
      </c>
      <c r="K20" s="156">
        <v>0</v>
      </c>
      <c r="L20" s="156">
        <v>-61.9</v>
      </c>
      <c r="M20" s="157"/>
      <c r="N20" s="157">
        <f t="shared" si="0"/>
        <v>1463.6999999999998</v>
      </c>
      <c r="O20" s="102"/>
      <c r="P20" s="101"/>
      <c r="Q20" s="49"/>
      <c r="R20" s="49"/>
      <c r="S20" s="130"/>
      <c r="T20" s="49"/>
      <c r="U20" s="49"/>
      <c r="V20" s="49"/>
    </row>
    <row r="21" spans="1:22" s="50" customFormat="1" ht="11.45" customHeight="1">
      <c r="A21" s="142"/>
      <c r="B21" s="143" t="s">
        <v>48</v>
      </c>
      <c r="C21" s="142"/>
      <c r="D21" s="159">
        <v>0</v>
      </c>
      <c r="E21" s="159"/>
      <c r="F21" s="159">
        <v>0</v>
      </c>
      <c r="G21" s="159"/>
      <c r="H21" s="159">
        <v>0</v>
      </c>
      <c r="I21" s="159"/>
      <c r="J21" s="159">
        <f>+'IS &amp; OCI'!J22</f>
        <v>-137.74355324000004</v>
      </c>
      <c r="K21" s="159"/>
      <c r="L21" s="159">
        <f>+'IS &amp; OCI'!J27</f>
        <v>-45</v>
      </c>
      <c r="M21" s="159"/>
      <c r="N21" s="159">
        <f t="shared" si="0"/>
        <v>-182.74355324000004</v>
      </c>
      <c r="O21" s="99"/>
      <c r="P21" s="99"/>
      <c r="Q21" s="68"/>
      <c r="R21" s="53"/>
      <c r="S21" s="19"/>
      <c r="T21" s="53"/>
      <c r="U21" s="53"/>
      <c r="V21" s="53"/>
    </row>
    <row r="22" spans="1:22" s="50" customFormat="1" ht="11.45" customHeight="1">
      <c r="A22" s="142"/>
      <c r="B22" s="144" t="s">
        <v>118</v>
      </c>
      <c r="C22" s="142"/>
      <c r="D22" s="159">
        <v>0</v>
      </c>
      <c r="E22" s="159"/>
      <c r="F22" s="159">
        <v>0.2</v>
      </c>
      <c r="G22" s="159"/>
      <c r="H22" s="159">
        <v>4.7</v>
      </c>
      <c r="I22" s="159" t="s">
        <v>0</v>
      </c>
      <c r="J22" s="159">
        <v>-0.2</v>
      </c>
      <c r="K22" s="159"/>
      <c r="L22" s="159">
        <v>0</v>
      </c>
      <c r="M22" s="159"/>
      <c r="N22" s="159">
        <f t="shared" si="0"/>
        <v>4.7</v>
      </c>
      <c r="O22" s="99"/>
      <c r="P22" s="99"/>
      <c r="Q22" s="52"/>
      <c r="R22" s="53"/>
      <c r="S22" s="53"/>
      <c r="T22" s="53"/>
      <c r="U22" s="53"/>
      <c r="V22" s="53"/>
    </row>
    <row r="23" spans="1:22" s="66" customFormat="1" ht="11.45" customHeight="1">
      <c r="A23" s="145" t="s">
        <v>237</v>
      </c>
      <c r="B23" s="145"/>
      <c r="C23" s="141"/>
      <c r="D23" s="160">
        <f t="shared" ref="D23:L23" si="1">SUM(D20:D22)</f>
        <v>104</v>
      </c>
      <c r="E23" s="160">
        <f t="shared" si="1"/>
        <v>0</v>
      </c>
      <c r="F23" s="160">
        <f t="shared" si="1"/>
        <v>-0.90000000000000013</v>
      </c>
      <c r="G23" s="160">
        <f t="shared" si="1"/>
        <v>0</v>
      </c>
      <c r="H23" s="160">
        <f t="shared" si="1"/>
        <v>627.5</v>
      </c>
      <c r="I23" s="160">
        <f t="shared" si="1"/>
        <v>0</v>
      </c>
      <c r="J23" s="160">
        <f t="shared" si="1"/>
        <v>661.95644675999984</v>
      </c>
      <c r="K23" s="160">
        <f t="shared" si="1"/>
        <v>0</v>
      </c>
      <c r="L23" s="160">
        <f t="shared" si="1"/>
        <v>-106.9</v>
      </c>
      <c r="M23" s="157"/>
      <c r="N23" s="160">
        <f>SUM(D23:L23)</f>
        <v>1285.6564467599997</v>
      </c>
      <c r="O23" s="102"/>
      <c r="P23" s="101"/>
      <c r="Q23" s="49"/>
      <c r="R23" s="49"/>
      <c r="S23" s="49"/>
      <c r="T23" s="49"/>
      <c r="U23" s="49"/>
      <c r="V23" s="49"/>
    </row>
  </sheetData>
  <mergeCells count="3">
    <mergeCell ref="D4:L4"/>
    <mergeCell ref="D16:L16"/>
    <mergeCell ref="A1:N1"/>
  </mergeCells>
  <pageMargins left="0.5" right="0.25" top="0.39369999999999999" bottom="0.25" header="0.31490000000000001" footer="0.23619999999999999"/>
  <pageSetup scale="86" orientation="portrait" r:id="rId1"/>
  <ignoredErrors>
    <ignoredError sqref="N11 N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268"/>
  <sheetViews>
    <sheetView showGridLines="0" zoomScale="110" zoomScaleNormal="110" workbookViewId="0"/>
  </sheetViews>
  <sheetFormatPr defaultColWidth="9.140625" defaultRowHeight="12.75"/>
  <cols>
    <col min="1" max="1" width="2.5703125" style="43" customWidth="1"/>
    <col min="2" max="2" width="59.140625" style="43" customWidth="1"/>
    <col min="3" max="3" width="1.7109375" style="43" customWidth="1"/>
    <col min="4" max="4" width="10.7109375" style="43" customWidth="1"/>
    <col min="5" max="5" width="1.7109375" style="43" customWidth="1"/>
    <col min="6" max="6" width="11.7109375" style="43" customWidth="1"/>
    <col min="7" max="7" width="1.7109375" style="43" customWidth="1"/>
    <col min="8" max="8" width="12.140625" style="43" customWidth="1"/>
    <col min="9" max="9" width="1.7109375" style="43" customWidth="1"/>
    <col min="10" max="10" width="13.140625" style="43" customWidth="1"/>
    <col min="11" max="11" width="1.7109375" style="43" customWidth="1"/>
    <col min="12" max="12" width="11.85546875" style="43" customWidth="1"/>
    <col min="13" max="13" width="2.140625" style="43" customWidth="1"/>
    <col min="14" max="14" width="13.140625" style="43" customWidth="1"/>
    <col min="15" max="15" width="3.140625" style="43" customWidth="1"/>
    <col min="16" max="16" width="1.7109375" style="390" customWidth="1"/>
    <col min="17" max="17" width="2.28515625" style="44" bestFit="1" customWidth="1"/>
    <col min="18" max="18" width="4.7109375" style="75" customWidth="1"/>
    <col min="19" max="19" width="4.140625" style="43" customWidth="1"/>
    <col min="20" max="22" width="9.140625" style="43" customWidth="1"/>
    <col min="23" max="16384" width="9.140625" style="43"/>
  </cols>
  <sheetData>
    <row r="1" spans="1:30" s="1" customFormat="1" ht="18.75">
      <c r="A1" s="401" t="s">
        <v>238</v>
      </c>
      <c r="B1" s="400"/>
      <c r="C1" s="400"/>
      <c r="D1" s="400"/>
      <c r="E1" s="400"/>
      <c r="F1" s="400"/>
      <c r="G1" s="400"/>
      <c r="H1" s="400"/>
      <c r="I1" s="400"/>
      <c r="J1" s="403"/>
      <c r="K1" s="403"/>
      <c r="L1" s="403"/>
      <c r="M1" s="403"/>
      <c r="N1" s="400"/>
      <c r="O1" s="400"/>
      <c r="P1" s="400"/>
      <c r="Q1" s="400"/>
      <c r="R1" s="400"/>
      <c r="S1" s="110"/>
      <c r="T1" s="110"/>
      <c r="U1" s="110"/>
      <c r="V1" s="9"/>
      <c r="W1" s="118"/>
      <c r="X1" s="8"/>
      <c r="Y1" s="8"/>
      <c r="Z1" s="8"/>
      <c r="AA1" s="128"/>
      <c r="AB1" s="8"/>
      <c r="AC1" s="8"/>
      <c r="AD1" s="8"/>
    </row>
    <row r="2" spans="1:30" s="1" customFormat="1" ht="13.5" customHeight="1" thickBot="1">
      <c r="A2" s="192" t="s">
        <v>0</v>
      </c>
      <c r="B2" s="192"/>
      <c r="C2" s="192"/>
      <c r="D2" s="192"/>
      <c r="E2" s="192"/>
      <c r="F2" s="206"/>
      <c r="G2" s="206"/>
      <c r="H2" s="207"/>
      <c r="I2" s="192"/>
      <c r="J2" s="192"/>
      <c r="K2" s="192"/>
      <c r="L2" s="192"/>
      <c r="M2" s="192"/>
      <c r="N2" s="206"/>
      <c r="O2" s="207"/>
      <c r="P2" s="381"/>
      <c r="Q2" s="310"/>
      <c r="R2" s="311"/>
      <c r="S2" s="87"/>
      <c r="T2" s="87"/>
      <c r="U2" s="87"/>
      <c r="V2" s="20"/>
      <c r="W2" s="120"/>
      <c r="X2" s="8"/>
      <c r="Y2" s="8"/>
      <c r="Z2" s="8"/>
      <c r="AA2" s="128"/>
      <c r="AB2" s="8"/>
      <c r="AC2" s="8"/>
      <c r="AD2" s="8"/>
    </row>
    <row r="3" spans="1:30" s="1" customFormat="1" ht="11.25" customHeight="1">
      <c r="A3" s="349"/>
      <c r="B3" s="349"/>
      <c r="C3" s="349"/>
      <c r="D3" s="349"/>
      <c r="E3" s="349"/>
      <c r="F3" s="350"/>
      <c r="G3" s="350"/>
      <c r="H3" s="351"/>
      <c r="I3" s="349"/>
      <c r="J3" s="405"/>
      <c r="K3" s="405"/>
      <c r="L3" s="405"/>
      <c r="M3" s="405"/>
      <c r="N3" s="350"/>
      <c r="O3" s="351"/>
      <c r="P3" s="382"/>
      <c r="Q3" s="87"/>
      <c r="R3" s="132"/>
      <c r="S3" s="87"/>
      <c r="T3" s="87"/>
      <c r="U3" s="87"/>
      <c r="V3" s="20"/>
      <c r="W3" s="120"/>
      <c r="X3" s="8"/>
      <c r="Y3" s="8"/>
      <c r="Z3" s="8"/>
      <c r="AA3" s="128"/>
      <c r="AB3" s="8"/>
      <c r="AC3" s="8"/>
      <c r="AD3" s="8"/>
    </row>
    <row r="4" spans="1:30" s="1" customFormat="1" ht="11.25" customHeight="1">
      <c r="A4" s="349"/>
      <c r="B4" s="349"/>
      <c r="C4" s="349"/>
      <c r="D4" s="349"/>
      <c r="E4" s="349"/>
      <c r="F4" s="350"/>
      <c r="G4" s="350"/>
      <c r="H4" s="351"/>
      <c r="I4" s="349"/>
      <c r="J4" s="405"/>
      <c r="K4" s="405"/>
      <c r="L4" s="405"/>
      <c r="M4" s="405"/>
      <c r="N4" s="350"/>
      <c r="O4" s="351"/>
      <c r="P4" s="382"/>
      <c r="Q4" s="87"/>
      <c r="R4" s="132"/>
      <c r="S4" s="87"/>
      <c r="T4" s="87"/>
      <c r="U4" s="87"/>
      <c r="V4" s="20"/>
      <c r="W4" s="120"/>
      <c r="X4" s="8"/>
      <c r="Y4" s="8"/>
      <c r="Z4" s="8"/>
      <c r="AA4" s="128"/>
      <c r="AB4" s="8"/>
      <c r="AC4" s="8"/>
      <c r="AD4" s="8"/>
    </row>
    <row r="5" spans="1:30" s="1" customFormat="1" ht="14.25" customHeight="1" thickBot="1">
      <c r="A5" s="355" t="s">
        <v>255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383"/>
      <c r="Q5" s="87"/>
      <c r="R5" s="132"/>
      <c r="S5" s="87"/>
      <c r="T5" s="87"/>
      <c r="U5" s="87"/>
      <c r="V5" s="20"/>
      <c r="W5" s="120"/>
      <c r="X5" s="8"/>
      <c r="Y5" s="8"/>
      <c r="Z5" s="8"/>
      <c r="AA5" s="128"/>
      <c r="AB5" s="8"/>
      <c r="AC5" s="8"/>
      <c r="AD5" s="8"/>
    </row>
    <row r="6" spans="1:30" s="1" customFormat="1" ht="11.25" customHeight="1">
      <c r="A6" s="225"/>
      <c r="B6" s="225"/>
      <c r="C6" s="225"/>
      <c r="D6" s="225"/>
      <c r="E6" s="225"/>
      <c r="F6" s="560" t="s">
        <v>6</v>
      </c>
      <c r="G6" s="560"/>
      <c r="H6" s="560"/>
      <c r="I6" s="225"/>
      <c r="J6" s="562" t="s">
        <v>233</v>
      </c>
      <c r="K6" s="562"/>
      <c r="L6" s="562"/>
      <c r="M6" s="225"/>
      <c r="N6" s="394" t="s">
        <v>21</v>
      </c>
      <c r="O6" s="394"/>
      <c r="P6" s="384"/>
      <c r="Q6" s="87"/>
      <c r="R6" s="132"/>
      <c r="S6" s="87"/>
      <c r="T6" s="87"/>
      <c r="U6" s="87"/>
      <c r="V6" s="20"/>
      <c r="W6" s="120"/>
      <c r="X6" s="8"/>
      <c r="Y6" s="8"/>
      <c r="Z6" s="8"/>
      <c r="AA6" s="128"/>
      <c r="AB6" s="8"/>
      <c r="AC6" s="8"/>
      <c r="AD6" s="8"/>
    </row>
    <row r="7" spans="1:30" s="1" customFormat="1" ht="11.25" customHeight="1">
      <c r="A7" s="225"/>
      <c r="B7" s="225"/>
      <c r="C7" s="225"/>
      <c r="D7" s="225"/>
      <c r="E7" s="225"/>
      <c r="F7" s="558" t="s">
        <v>232</v>
      </c>
      <c r="G7" s="558"/>
      <c r="H7" s="558"/>
      <c r="I7" s="225"/>
      <c r="J7" s="556" t="s">
        <v>232</v>
      </c>
      <c r="K7" s="556"/>
      <c r="L7" s="556"/>
      <c r="M7" s="225"/>
      <c r="N7" s="393" t="s">
        <v>1</v>
      </c>
      <c r="O7" s="393"/>
      <c r="P7" s="384"/>
      <c r="Q7" s="87"/>
      <c r="R7" s="132"/>
      <c r="S7" s="87"/>
      <c r="T7" s="87"/>
      <c r="U7" s="87"/>
      <c r="V7" s="20"/>
      <c r="W7" s="120"/>
      <c r="X7" s="8"/>
      <c r="Y7" s="8"/>
      <c r="Z7" s="8"/>
      <c r="AA7" s="128"/>
      <c r="AB7" s="8"/>
      <c r="AC7" s="8"/>
      <c r="AD7" s="8"/>
    </row>
    <row r="8" spans="1:30" s="1" customFormat="1" ht="11.25" customHeight="1">
      <c r="A8" s="227" t="s">
        <v>183</v>
      </c>
      <c r="B8" s="228"/>
      <c r="C8" s="228"/>
      <c r="D8" s="228"/>
      <c r="E8" s="225"/>
      <c r="F8" s="292">
        <v>2016</v>
      </c>
      <c r="G8" s="229"/>
      <c r="H8" s="230">
        <v>2015</v>
      </c>
      <c r="I8" s="225"/>
      <c r="J8" s="406">
        <v>2016</v>
      </c>
      <c r="K8" s="225"/>
      <c r="L8" s="407">
        <v>2015</v>
      </c>
      <c r="M8" s="147"/>
      <c r="N8" s="230">
        <v>2015</v>
      </c>
      <c r="O8" s="229"/>
      <c r="P8" s="385"/>
      <c r="Q8" s="87"/>
      <c r="R8" s="132"/>
      <c r="S8" s="87"/>
      <c r="T8" s="87"/>
      <c r="U8" s="87"/>
      <c r="V8" s="20"/>
      <c r="W8" s="120"/>
      <c r="X8" s="8"/>
      <c r="Y8" s="8"/>
      <c r="Z8" s="8"/>
      <c r="AA8" s="128"/>
      <c r="AB8" s="8"/>
      <c r="AC8" s="8"/>
      <c r="AD8" s="8"/>
    </row>
    <row r="9" spans="1:30" s="1" customFormat="1" ht="11.25" customHeight="1">
      <c r="A9" s="226" t="s">
        <v>0</v>
      </c>
      <c r="B9" s="143" t="s">
        <v>184</v>
      </c>
      <c r="C9" s="143"/>
      <c r="D9" s="143"/>
      <c r="E9" s="225"/>
      <c r="F9" s="232">
        <f>F36</f>
        <v>224.05600000000001</v>
      </c>
      <c r="G9" s="169"/>
      <c r="H9" s="232">
        <v>225.7</v>
      </c>
      <c r="I9" s="225"/>
      <c r="J9" s="408">
        <f>386.1+F9</f>
        <v>610.15600000000006</v>
      </c>
      <c r="K9" s="225"/>
      <c r="L9" s="142">
        <v>732.6</v>
      </c>
      <c r="M9" s="225"/>
      <c r="N9" s="232">
        <v>961.9</v>
      </c>
      <c r="O9" s="169"/>
      <c r="P9" s="386"/>
      <c r="Q9" s="87"/>
      <c r="R9" s="132"/>
      <c r="S9" s="87"/>
      <c r="T9" s="87"/>
      <c r="U9" s="87"/>
      <c r="V9" s="20"/>
      <c r="W9" s="120"/>
      <c r="X9" s="8"/>
      <c r="Y9" s="8"/>
      <c r="Z9" s="8"/>
      <c r="AA9" s="128"/>
      <c r="AB9" s="8"/>
      <c r="AC9" s="8"/>
      <c r="AD9" s="8"/>
    </row>
    <row r="10" spans="1:30" s="1" customFormat="1" ht="11.25" customHeight="1">
      <c r="A10" s="226"/>
      <c r="B10" s="360" t="s">
        <v>249</v>
      </c>
      <c r="C10" s="142"/>
      <c r="D10" s="142"/>
      <c r="E10" s="225"/>
      <c r="F10" s="362">
        <f>'IS &amp; OCI'!F7-SUM('IS &amp; OCI'!F9:F11)</f>
        <v>112.73500000000003</v>
      </c>
      <c r="G10" s="231"/>
      <c r="H10" s="232">
        <v>115.3</v>
      </c>
      <c r="I10" s="225"/>
      <c r="J10" s="362">
        <f>'IS &amp; OCI'!J7-SUM('IS &amp; OCI'!J9:J11)</f>
        <v>260.23500000000001</v>
      </c>
      <c r="K10" s="225"/>
      <c r="L10" s="232">
        <v>368</v>
      </c>
      <c r="M10" s="225"/>
      <c r="N10" s="232">
        <v>484.4</v>
      </c>
      <c r="O10" s="231"/>
      <c r="P10" s="362"/>
      <c r="Q10" s="87"/>
      <c r="R10" s="132"/>
      <c r="S10" s="87"/>
      <c r="T10" s="87"/>
      <c r="U10" s="87"/>
      <c r="V10" s="20"/>
      <c r="W10" s="120"/>
      <c r="X10" s="8"/>
      <c r="Y10" s="8"/>
      <c r="Z10" s="8"/>
      <c r="AA10" s="128"/>
      <c r="AB10" s="8"/>
      <c r="AC10" s="8"/>
      <c r="AD10" s="8"/>
    </row>
    <row r="11" spans="1:30" s="1" customFormat="1" ht="11.25" customHeight="1">
      <c r="A11" s="226"/>
      <c r="B11" s="143" t="s">
        <v>224</v>
      </c>
      <c r="C11" s="143"/>
      <c r="D11" s="143"/>
      <c r="E11" s="225"/>
      <c r="F11" s="362">
        <f>'IS &amp; OCI'!F16+'IS &amp; OCI'!F14+'IS &amp; OCI'!F13</f>
        <v>-5.3859999999999637</v>
      </c>
      <c r="G11" s="371"/>
      <c r="H11" s="232">
        <v>9.1</v>
      </c>
      <c r="I11" s="358"/>
      <c r="J11" s="408">
        <f>'IS &amp; OCI'!J16+'IS &amp; OCI'!J14+'IS &amp; OCI'!J13</f>
        <v>-71.886000000000024</v>
      </c>
      <c r="K11" s="358"/>
      <c r="L11" s="360">
        <v>38.700000000000003</v>
      </c>
      <c r="M11" s="358"/>
      <c r="N11" s="232">
        <f>'IS &amp; OCI'!N16+'IS &amp; OCI'!N13+'IS &amp; OCI'!N14</f>
        <v>15.800000000000011</v>
      </c>
      <c r="O11" s="371"/>
      <c r="P11" s="387"/>
      <c r="Q11" s="87"/>
      <c r="R11" s="132"/>
      <c r="S11" s="87"/>
      <c r="T11" s="87"/>
      <c r="U11" s="87"/>
      <c r="V11" s="20"/>
      <c r="W11" s="120"/>
      <c r="X11" s="8"/>
      <c r="Y11" s="8"/>
      <c r="Z11" s="8"/>
      <c r="AA11" s="128"/>
      <c r="AB11" s="8"/>
      <c r="AC11" s="8"/>
      <c r="AD11" s="8"/>
    </row>
    <row r="12" spans="1:30" s="1" customFormat="1" ht="11.25" customHeight="1">
      <c r="A12" s="225"/>
      <c r="B12" s="142" t="s">
        <v>185</v>
      </c>
      <c r="C12" s="142"/>
      <c r="D12" s="142"/>
      <c r="E12" s="225"/>
      <c r="F12" s="362">
        <f>'IS &amp; OCI'!F16</f>
        <v>-11.477499999999964</v>
      </c>
      <c r="G12" s="233"/>
      <c r="H12" s="232">
        <v>-62.7</v>
      </c>
      <c r="I12" s="225"/>
      <c r="J12" s="408">
        <f>-76.1+F12-0.2</f>
        <v>-87.777499999999961</v>
      </c>
      <c r="K12" s="225"/>
      <c r="L12" s="232">
        <v>-97.5</v>
      </c>
      <c r="M12" s="225"/>
      <c r="N12" s="232">
        <v>-430.4</v>
      </c>
      <c r="O12" s="233"/>
      <c r="P12" s="387"/>
      <c r="Q12" s="87"/>
      <c r="R12" s="132"/>
      <c r="S12" s="87"/>
      <c r="T12" s="87"/>
      <c r="U12" s="87"/>
      <c r="V12" s="20"/>
      <c r="W12" s="120"/>
      <c r="X12" s="8"/>
      <c r="Y12" s="8"/>
      <c r="Z12" s="8"/>
      <c r="AA12" s="128"/>
      <c r="AB12" s="8"/>
      <c r="AC12" s="8"/>
      <c r="AD12" s="8"/>
    </row>
    <row r="13" spans="1:30" s="1" customFormat="1" ht="11.25" customHeight="1">
      <c r="A13" s="391"/>
      <c r="B13" s="142" t="s">
        <v>221</v>
      </c>
      <c r="C13" s="142"/>
      <c r="D13" s="142"/>
      <c r="E13" s="225"/>
      <c r="F13" s="362">
        <f>'IS &amp; OCI'!F20</f>
        <v>-24.209499999999959</v>
      </c>
      <c r="G13" s="233"/>
      <c r="H13" s="232">
        <v>-80.5</v>
      </c>
      <c r="I13" s="225"/>
      <c r="J13" s="408">
        <f>-119.6+F13-0.1</f>
        <v>-143.90949999999995</v>
      </c>
      <c r="K13" s="225"/>
      <c r="L13" s="232">
        <v>-148.4</v>
      </c>
      <c r="M13" s="225"/>
      <c r="N13" s="232">
        <v>-505.5</v>
      </c>
      <c r="O13" s="233"/>
      <c r="P13" s="387"/>
      <c r="Q13" s="87"/>
      <c r="R13" s="132"/>
      <c r="S13" s="87"/>
      <c r="T13" s="87"/>
      <c r="U13" s="87"/>
      <c r="V13" s="20"/>
      <c r="W13" s="120"/>
      <c r="X13" s="8"/>
      <c r="Y13" s="8"/>
      <c r="Z13" s="8"/>
      <c r="AA13" s="128"/>
      <c r="AB13" s="8"/>
      <c r="AC13" s="8"/>
      <c r="AD13" s="8"/>
    </row>
    <row r="14" spans="1:30" s="1" customFormat="1" ht="11.25" customHeight="1">
      <c r="A14" s="225"/>
      <c r="B14" s="142" t="s">
        <v>223</v>
      </c>
      <c r="C14" s="142"/>
      <c r="D14" s="142"/>
      <c r="E14" s="225"/>
      <c r="F14" s="362">
        <f>'IS &amp; OCI'!F22</f>
        <v>-29.03555323999996</v>
      </c>
      <c r="G14" s="233"/>
      <c r="H14" s="232">
        <v>-110</v>
      </c>
      <c r="I14" s="225"/>
      <c r="J14" s="408">
        <f>-108.7+F14</f>
        <v>-137.73555323999997</v>
      </c>
      <c r="K14" s="225"/>
      <c r="L14" s="232">
        <v>-193.3</v>
      </c>
      <c r="M14" s="225"/>
      <c r="N14" s="232">
        <v>-527.9</v>
      </c>
      <c r="O14" s="233"/>
      <c r="P14" s="387"/>
      <c r="Q14" s="87"/>
      <c r="R14" s="132"/>
      <c r="S14" s="87"/>
      <c r="T14" s="87"/>
      <c r="U14" s="87"/>
      <c r="V14" s="20"/>
      <c r="W14" s="120"/>
      <c r="X14" s="8"/>
      <c r="Y14" s="8"/>
      <c r="Z14" s="8"/>
      <c r="AA14" s="128"/>
      <c r="AB14" s="8"/>
      <c r="AC14" s="8"/>
      <c r="AD14" s="8"/>
    </row>
    <row r="15" spans="1:30" s="1" customFormat="1" ht="11.25" customHeight="1">
      <c r="A15" s="225"/>
      <c r="B15" s="142" t="s">
        <v>186</v>
      </c>
      <c r="C15" s="142"/>
      <c r="D15" s="142"/>
      <c r="E15" s="225"/>
      <c r="F15" s="369">
        <f>F230</f>
        <v>-0.12</v>
      </c>
      <c r="G15" s="354"/>
      <c r="H15" s="396">
        <v>-0.51</v>
      </c>
      <c r="I15" s="225"/>
      <c r="J15" s="413">
        <f>-0.46+F15</f>
        <v>-0.58000000000000007</v>
      </c>
      <c r="K15" s="225"/>
      <c r="L15" s="396">
        <v>-0.9</v>
      </c>
      <c r="M15" s="225"/>
      <c r="N15" s="396">
        <v>-2.4300000000000002</v>
      </c>
      <c r="O15" s="354"/>
      <c r="P15" s="388"/>
      <c r="Q15" s="87"/>
      <c r="R15" s="132"/>
      <c r="S15" s="87"/>
      <c r="T15" s="87"/>
      <c r="U15" s="87"/>
      <c r="V15" s="20"/>
      <c r="W15" s="120"/>
      <c r="X15" s="8"/>
      <c r="Y15" s="8"/>
      <c r="Z15" s="8"/>
      <c r="AA15" s="128"/>
      <c r="AB15" s="8"/>
      <c r="AC15" s="8"/>
      <c r="AD15" s="8"/>
    </row>
    <row r="16" spans="1:30" s="1" customFormat="1" ht="11.25" customHeight="1">
      <c r="A16" s="225"/>
      <c r="B16" s="142" t="s">
        <v>173</v>
      </c>
      <c r="C16" s="142"/>
      <c r="D16" s="142"/>
      <c r="E16" s="225"/>
      <c r="F16" s="362">
        <f>CF!F18</f>
        <v>80.39944676000006</v>
      </c>
      <c r="G16" s="233"/>
      <c r="H16" s="232">
        <v>71.3</v>
      </c>
      <c r="I16" s="225"/>
      <c r="J16" s="408">
        <f>175.8+F16</f>
        <v>256.19944676000006</v>
      </c>
      <c r="K16" s="225"/>
      <c r="L16" s="142">
        <v>366.7</v>
      </c>
      <c r="M16" s="225"/>
      <c r="N16" s="232">
        <v>487.9</v>
      </c>
      <c r="O16" s="233"/>
      <c r="P16" s="387"/>
      <c r="Q16" s="87"/>
      <c r="R16" s="132"/>
      <c r="S16" s="87"/>
      <c r="T16" s="87"/>
      <c r="U16" s="87"/>
      <c r="V16" s="20"/>
      <c r="W16" s="120"/>
      <c r="X16" s="8"/>
      <c r="Y16" s="8"/>
      <c r="Z16" s="8"/>
      <c r="AA16" s="128"/>
      <c r="AB16" s="8"/>
      <c r="AC16" s="8"/>
      <c r="AD16" s="8"/>
    </row>
    <row r="17" spans="1:30" s="1" customFormat="1" ht="11.25" customHeight="1">
      <c r="A17" s="225"/>
      <c r="B17" s="142" t="s">
        <v>187</v>
      </c>
      <c r="C17" s="142"/>
      <c r="D17" s="142"/>
      <c r="E17" s="225"/>
      <c r="F17" s="232">
        <f>-CF!F19</f>
        <v>63</v>
      </c>
      <c r="G17" s="233"/>
      <c r="H17" s="232">
        <v>95.5</v>
      </c>
      <c r="I17" s="225"/>
      <c r="J17" s="409">
        <f>90.1+F17</f>
        <v>153.1</v>
      </c>
      <c r="K17" s="225"/>
      <c r="L17" s="142">
        <v>233.1</v>
      </c>
      <c r="M17" s="225"/>
      <c r="N17" s="232">
        <v>303.3</v>
      </c>
      <c r="O17" s="233"/>
      <c r="P17" s="387"/>
      <c r="Q17" s="87"/>
      <c r="R17" s="132"/>
      <c r="S17" s="87"/>
      <c r="T17" s="87"/>
      <c r="U17" s="87"/>
      <c r="V17" s="20"/>
      <c r="W17" s="120"/>
      <c r="X17" s="8"/>
      <c r="Y17" s="8"/>
      <c r="Z17" s="8"/>
      <c r="AA17" s="128"/>
      <c r="AB17" s="8"/>
      <c r="AC17" s="8"/>
      <c r="AD17" s="8"/>
    </row>
    <row r="18" spans="1:30" s="1" customFormat="1" ht="11.25" customHeight="1">
      <c r="A18" s="225"/>
      <c r="B18" s="142" t="s">
        <v>188</v>
      </c>
      <c r="C18" s="142"/>
      <c r="D18" s="142"/>
      <c r="E18" s="225"/>
      <c r="F18" s="362">
        <f>F146</f>
        <v>19.042000000000002</v>
      </c>
      <c r="G18" s="371"/>
      <c r="H18" s="232">
        <v>17</v>
      </c>
      <c r="I18" s="358"/>
      <c r="J18" s="409">
        <f>160.9+F18</f>
        <v>179.94200000000001</v>
      </c>
      <c r="K18" s="358"/>
      <c r="L18" s="360">
        <v>121.8</v>
      </c>
      <c r="M18" s="358"/>
      <c r="N18" s="232">
        <v>165.7</v>
      </c>
      <c r="O18" s="233"/>
      <c r="P18" s="387"/>
      <c r="Q18" s="87"/>
      <c r="R18" s="132"/>
      <c r="S18" s="87"/>
      <c r="T18" s="87"/>
      <c r="U18" s="87"/>
      <c r="V18" s="20"/>
      <c r="W18" s="120"/>
      <c r="X18" s="8"/>
      <c r="Y18" s="8"/>
      <c r="Z18" s="8"/>
      <c r="AA18" s="128"/>
      <c r="AB18" s="8"/>
      <c r="AC18" s="8"/>
      <c r="AD18" s="8"/>
    </row>
    <row r="19" spans="1:30" s="1" customFormat="1" ht="11.25" customHeight="1">
      <c r="A19" s="225"/>
      <c r="B19" s="142" t="s">
        <v>189</v>
      </c>
      <c r="C19" s="142"/>
      <c r="D19" s="142"/>
      <c r="E19" s="225"/>
      <c r="F19" s="232">
        <f>BS!G21</f>
        <v>2988.5039999999999</v>
      </c>
      <c r="G19" s="233"/>
      <c r="H19" s="232">
        <v>3246.6</v>
      </c>
      <c r="I19" s="225"/>
      <c r="J19" s="408">
        <f>F19</f>
        <v>2988.5039999999999</v>
      </c>
      <c r="K19" s="225"/>
      <c r="L19" s="142">
        <v>3246.6</v>
      </c>
      <c r="M19" s="225"/>
      <c r="N19" s="232">
        <v>2914.1</v>
      </c>
      <c r="O19" s="233"/>
      <c r="P19" s="387"/>
      <c r="Q19" s="87"/>
      <c r="R19" s="132"/>
      <c r="S19" s="87"/>
      <c r="T19" s="87"/>
      <c r="U19" s="87"/>
      <c r="V19" s="20"/>
      <c r="W19" s="120"/>
      <c r="X19" s="8"/>
      <c r="Y19" s="8"/>
      <c r="Z19" s="8"/>
      <c r="AA19" s="128"/>
      <c r="AB19" s="8"/>
      <c r="AC19" s="8"/>
      <c r="AD19" s="8"/>
    </row>
    <row r="20" spans="1:30" s="1" customFormat="1" ht="11.25" customHeight="1">
      <c r="A20" s="225"/>
      <c r="B20" s="142" t="s">
        <v>2</v>
      </c>
      <c r="C20" s="142"/>
      <c r="D20" s="142"/>
      <c r="E20" s="225"/>
      <c r="F20" s="232">
        <f>BS!G7</f>
        <v>77.331000000000003</v>
      </c>
      <c r="G20" s="233"/>
      <c r="H20" s="232">
        <v>82.3</v>
      </c>
      <c r="I20" s="225"/>
      <c r="J20" s="408">
        <f>F20</f>
        <v>77.331000000000003</v>
      </c>
      <c r="K20" s="225"/>
      <c r="L20" s="142">
        <v>82.3</v>
      </c>
      <c r="M20" s="225"/>
      <c r="N20" s="232">
        <v>81.599999999999994</v>
      </c>
      <c r="O20" s="233"/>
      <c r="P20" s="387"/>
      <c r="Q20" s="87"/>
      <c r="R20" s="132"/>
      <c r="S20" s="87"/>
      <c r="T20" s="87"/>
      <c r="U20" s="87"/>
      <c r="V20" s="20"/>
      <c r="W20" s="120"/>
      <c r="X20" s="8"/>
      <c r="Y20" s="8"/>
      <c r="Z20" s="8"/>
      <c r="AA20" s="128"/>
      <c r="AB20" s="8"/>
      <c r="AC20" s="8"/>
      <c r="AD20" s="8"/>
    </row>
    <row r="21" spans="1:30" s="1" customFormat="1" ht="11.25" customHeight="1">
      <c r="A21" s="228"/>
      <c r="B21" s="144" t="s">
        <v>190</v>
      </c>
      <c r="C21" s="144"/>
      <c r="D21" s="144"/>
      <c r="E21" s="228"/>
      <c r="F21" s="374">
        <f>-F221</f>
        <v>1208.5999999999999</v>
      </c>
      <c r="G21" s="356"/>
      <c r="H21" s="234">
        <v>1068.4000000000001</v>
      </c>
      <c r="I21" s="228"/>
      <c r="J21" s="414">
        <f>F21</f>
        <v>1208.5999999999999</v>
      </c>
      <c r="K21" s="228"/>
      <c r="L21" s="234">
        <v>1068.4000000000001</v>
      </c>
      <c r="M21" s="228"/>
      <c r="N21" s="234">
        <v>994.2</v>
      </c>
      <c r="O21" s="356"/>
      <c r="P21" s="374"/>
      <c r="Q21" s="87"/>
      <c r="R21" s="132"/>
      <c r="S21" s="87"/>
      <c r="T21" s="87"/>
      <c r="U21" s="87"/>
      <c r="V21" s="20"/>
      <c r="W21" s="120"/>
      <c r="X21" s="8"/>
      <c r="Y21" s="8"/>
      <c r="Z21" s="8"/>
      <c r="AA21" s="128"/>
      <c r="AB21" s="8"/>
      <c r="AC21" s="8"/>
      <c r="AD21" s="8"/>
    </row>
    <row r="22" spans="1:30" s="7" customFormat="1" ht="11.25" customHeight="1">
      <c r="A22" s="433"/>
      <c r="B22" s="433"/>
      <c r="C22" s="433"/>
      <c r="D22" s="433"/>
      <c r="E22" s="433"/>
      <c r="F22" s="351"/>
      <c r="G22" s="351"/>
      <c r="H22" s="351"/>
      <c r="I22" s="433"/>
      <c r="J22" s="433"/>
      <c r="K22" s="433"/>
      <c r="L22" s="433"/>
      <c r="M22" s="433"/>
      <c r="N22" s="351"/>
      <c r="O22" s="351"/>
      <c r="P22" s="351"/>
      <c r="Q22" s="87"/>
      <c r="R22" s="457"/>
      <c r="S22" s="87"/>
      <c r="T22" s="87"/>
      <c r="U22" s="87"/>
      <c r="V22" s="20"/>
      <c r="W22" s="120"/>
      <c r="X22" s="352"/>
      <c r="Y22" s="352"/>
      <c r="Z22" s="352"/>
      <c r="AA22" s="353"/>
      <c r="AB22" s="352"/>
      <c r="AC22" s="352"/>
      <c r="AD22" s="352"/>
    </row>
    <row r="23" spans="1:30" s="45" customFormat="1" ht="12.75" customHeight="1">
      <c r="A23" s="434"/>
      <c r="B23" s="435"/>
      <c r="C23" s="435"/>
      <c r="D23" s="435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458"/>
      <c r="R23" s="459"/>
      <c r="S23" s="460"/>
      <c r="T23" s="460"/>
      <c r="U23" s="84"/>
      <c r="V23" s="84"/>
      <c r="W23" s="83"/>
    </row>
    <row r="24" spans="1:30" s="45" customFormat="1" ht="15" customHeight="1">
      <c r="A24" s="436" t="s">
        <v>181</v>
      </c>
      <c r="B24" s="435"/>
      <c r="C24" s="435"/>
      <c r="D24" s="435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458"/>
      <c r="R24" s="459"/>
      <c r="S24" s="460"/>
      <c r="T24" s="460"/>
      <c r="U24" s="84"/>
      <c r="V24" s="84"/>
      <c r="W24" s="83"/>
    </row>
    <row r="25" spans="1:30" s="45" customFormat="1" ht="18" customHeight="1">
      <c r="A25" s="143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458"/>
      <c r="R25" s="459"/>
      <c r="S25" s="460"/>
      <c r="T25" s="460"/>
      <c r="U25" s="84"/>
      <c r="V25" s="84"/>
      <c r="W25" s="83"/>
    </row>
    <row r="26" spans="1:30" s="63" customFormat="1" ht="11.45" customHeight="1" thickBot="1">
      <c r="A26" s="224" t="s">
        <v>132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142"/>
      <c r="R26" s="461"/>
      <c r="S26" s="53"/>
    </row>
    <row r="27" spans="1:30" s="80" customFormat="1" ht="11.45" customHeight="1">
      <c r="A27" s="225"/>
      <c r="B27" s="225"/>
      <c r="C27" s="225"/>
      <c r="D27" s="225"/>
      <c r="E27" s="225"/>
      <c r="F27" s="557" t="s">
        <v>6</v>
      </c>
      <c r="G27" s="557"/>
      <c r="H27" s="557"/>
      <c r="I27" s="225"/>
      <c r="J27" s="562" t="s">
        <v>233</v>
      </c>
      <c r="K27" s="562"/>
      <c r="L27" s="562"/>
      <c r="M27" s="225"/>
      <c r="N27" s="437" t="s">
        <v>21</v>
      </c>
      <c r="O27" s="534"/>
      <c r="P27" s="437"/>
      <c r="Q27" s="445"/>
      <c r="R27" s="225"/>
    </row>
    <row r="28" spans="1:30" s="80" customFormat="1" ht="11.45" customHeight="1">
      <c r="A28" s="225"/>
      <c r="B28" s="225"/>
      <c r="C28" s="225"/>
      <c r="D28" s="225"/>
      <c r="E28" s="225"/>
      <c r="F28" s="558" t="s">
        <v>232</v>
      </c>
      <c r="G28" s="558"/>
      <c r="H28" s="558"/>
      <c r="I28" s="225"/>
      <c r="J28" s="556" t="s">
        <v>232</v>
      </c>
      <c r="K28" s="556"/>
      <c r="L28" s="556"/>
      <c r="M28" s="225"/>
      <c r="N28" s="500" t="s">
        <v>1</v>
      </c>
      <c r="O28" s="500"/>
      <c r="P28" s="437"/>
      <c r="Q28" s="445"/>
      <c r="R28" s="225"/>
    </row>
    <row r="29" spans="1:30" s="80" customFormat="1" ht="11.45" customHeight="1">
      <c r="A29" s="227" t="s">
        <v>106</v>
      </c>
      <c r="B29" s="228"/>
      <c r="C29" s="228"/>
      <c r="D29" s="228"/>
      <c r="E29" s="225"/>
      <c r="F29" s="292">
        <v>2016</v>
      </c>
      <c r="G29" s="229"/>
      <c r="H29" s="230">
        <v>2015</v>
      </c>
      <c r="I29" s="225"/>
      <c r="J29" s="407">
        <v>2016</v>
      </c>
      <c r="K29" s="225"/>
      <c r="L29" s="407">
        <v>2015</v>
      </c>
      <c r="M29" s="147"/>
      <c r="N29" s="230">
        <v>2015</v>
      </c>
      <c r="O29" s="229"/>
      <c r="P29" s="450"/>
      <c r="Q29" s="225"/>
      <c r="R29" s="226"/>
    </row>
    <row r="30" spans="1:30" s="80" customFormat="1" ht="11.45" customHeight="1">
      <c r="A30" s="226" t="s">
        <v>0</v>
      </c>
      <c r="B30" s="143" t="s">
        <v>80</v>
      </c>
      <c r="C30" s="143"/>
      <c r="D30" s="143"/>
      <c r="E30" s="225"/>
      <c r="F30" s="169" t="s">
        <v>0</v>
      </c>
      <c r="G30" s="169"/>
      <c r="H30" s="169" t="s">
        <v>0</v>
      </c>
      <c r="I30" s="225"/>
      <c r="J30" s="225"/>
      <c r="K30" s="225"/>
      <c r="L30" s="225"/>
      <c r="M30" s="225"/>
      <c r="N30" s="169" t="s">
        <v>0</v>
      </c>
      <c r="O30" s="169"/>
      <c r="P30" s="169"/>
      <c r="Q30" s="225"/>
      <c r="R30" s="226"/>
    </row>
    <row r="31" spans="1:30" s="80" customFormat="1" ht="11.45" customHeight="1">
      <c r="A31" s="226"/>
      <c r="B31" s="142" t="s">
        <v>79</v>
      </c>
      <c r="C31" s="142"/>
      <c r="D31" s="142"/>
      <c r="E31" s="225"/>
      <c r="F31" s="232">
        <v>54.161999999999999</v>
      </c>
      <c r="G31" s="231"/>
      <c r="H31" s="232">
        <v>77.3</v>
      </c>
      <c r="I31" s="225"/>
      <c r="J31" s="408">
        <f>129.1+F31</f>
        <v>183.262</v>
      </c>
      <c r="K31" s="142"/>
      <c r="L31" s="142">
        <v>230.5</v>
      </c>
      <c r="M31" s="225"/>
      <c r="N31" s="232">
        <v>274</v>
      </c>
      <c r="O31" s="231"/>
      <c r="P31" s="232"/>
      <c r="Q31" s="225"/>
      <c r="R31" s="226"/>
      <c r="S31" s="107"/>
      <c r="T31" s="462"/>
      <c r="U31" s="81"/>
      <c r="V31" s="76"/>
    </row>
    <row r="32" spans="1:30" s="80" customFormat="1" ht="11.45" customHeight="1">
      <c r="A32" s="226"/>
      <c r="B32" s="143" t="s">
        <v>78</v>
      </c>
      <c r="C32" s="143"/>
      <c r="D32" s="143"/>
      <c r="E32" s="225"/>
      <c r="F32" s="232">
        <v>84.302000000000007</v>
      </c>
      <c r="G32" s="233"/>
      <c r="H32" s="502">
        <v>83.8</v>
      </c>
      <c r="I32" s="225"/>
      <c r="J32" s="408">
        <f>107.1+F32</f>
        <v>191.40199999999999</v>
      </c>
      <c r="K32" s="142"/>
      <c r="L32" s="142">
        <v>282.39999999999998</v>
      </c>
      <c r="M32" s="225"/>
      <c r="N32" s="502">
        <v>380.4</v>
      </c>
      <c r="O32" s="233"/>
      <c r="P32" s="502"/>
      <c r="Q32" s="225"/>
      <c r="R32" s="226"/>
      <c r="S32" s="107"/>
      <c r="T32" s="462"/>
      <c r="U32" s="81"/>
      <c r="V32" s="76"/>
    </row>
    <row r="33" spans="1:26" s="80" customFormat="1" ht="11.45" customHeight="1">
      <c r="A33" s="225"/>
      <c r="B33" s="142" t="s">
        <v>77</v>
      </c>
      <c r="C33" s="142"/>
      <c r="D33" s="142"/>
      <c r="E33" s="225"/>
      <c r="F33" s="502">
        <v>63.161000000000001</v>
      </c>
      <c r="G33" s="233"/>
      <c r="H33" s="502">
        <v>36.6</v>
      </c>
      <c r="I33" s="225"/>
      <c r="J33" s="409">
        <f>111.3+F33-0.1</f>
        <v>174.36100000000002</v>
      </c>
      <c r="K33" s="142"/>
      <c r="L33" s="142">
        <v>126.8</v>
      </c>
      <c r="M33" s="225"/>
      <c r="N33" s="502">
        <v>194.3</v>
      </c>
      <c r="O33" s="233"/>
      <c r="P33" s="502"/>
      <c r="Q33" s="225"/>
      <c r="R33" s="226"/>
      <c r="S33" s="107"/>
      <c r="T33" s="462"/>
      <c r="U33" s="81"/>
      <c r="V33" s="76"/>
    </row>
    <row r="34" spans="1:26" s="80" customFormat="1" ht="11.45" customHeight="1">
      <c r="A34" s="225"/>
      <c r="B34" s="142" t="s">
        <v>124</v>
      </c>
      <c r="C34" s="142"/>
      <c r="D34" s="142"/>
      <c r="E34" s="225"/>
      <c r="F34" s="502">
        <v>15.984999999999999</v>
      </c>
      <c r="G34" s="233"/>
      <c r="H34" s="502">
        <v>21.7</v>
      </c>
      <c r="I34" s="225"/>
      <c r="J34" s="409">
        <f>34.5+F34-0.1</f>
        <v>50.384999999999998</v>
      </c>
      <c r="K34" s="142"/>
      <c r="L34" s="142">
        <v>75.5</v>
      </c>
      <c r="M34" s="225"/>
      <c r="N34" s="502">
        <v>93.7</v>
      </c>
      <c r="O34" s="233"/>
      <c r="P34" s="502"/>
      <c r="Q34" s="225"/>
      <c r="R34" s="226"/>
      <c r="S34" s="107"/>
      <c r="T34" s="462"/>
      <c r="U34" s="81"/>
      <c r="V34" s="76"/>
    </row>
    <row r="35" spans="1:26" s="80" customFormat="1" ht="11.45" customHeight="1">
      <c r="A35" s="228"/>
      <c r="B35" s="144" t="s">
        <v>76</v>
      </c>
      <c r="C35" s="144"/>
      <c r="D35" s="144"/>
      <c r="E35" s="225"/>
      <c r="F35" s="234">
        <v>6.4459999999999997</v>
      </c>
      <c r="G35" s="233"/>
      <c r="H35" s="234">
        <v>6.3</v>
      </c>
      <c r="I35" s="225"/>
      <c r="J35" s="438">
        <f>4.2+F35+0.1</f>
        <v>10.746</v>
      </c>
      <c r="K35" s="142"/>
      <c r="L35" s="144">
        <v>17.399999999999999</v>
      </c>
      <c r="M35" s="225"/>
      <c r="N35" s="234">
        <v>19.600000000000001</v>
      </c>
      <c r="O35" s="233"/>
      <c r="P35" s="502"/>
      <c r="Q35" s="225"/>
      <c r="R35" s="226"/>
      <c r="S35" s="107"/>
      <c r="T35" s="462"/>
      <c r="U35" s="81"/>
    </row>
    <row r="36" spans="1:26" s="303" customFormat="1" ht="11.45" customHeight="1">
      <c r="A36" s="503"/>
      <c r="B36" s="439" t="s">
        <v>174</v>
      </c>
      <c r="C36" s="439"/>
      <c r="D36" s="439"/>
      <c r="E36" s="440"/>
      <c r="F36" s="504">
        <f>SUM(F31:F35)</f>
        <v>224.05600000000001</v>
      </c>
      <c r="G36" s="505"/>
      <c r="H36" s="504">
        <f>SUM(H31:H35)</f>
        <v>225.7</v>
      </c>
      <c r="I36" s="440"/>
      <c r="J36" s="504">
        <f>SUM(J31:J35)</f>
        <v>610.15599999999995</v>
      </c>
      <c r="K36" s="141"/>
      <c r="L36" s="504">
        <f>SUM(L31:L35)</f>
        <v>732.59999999999991</v>
      </c>
      <c r="M36" s="440"/>
      <c r="N36" s="504">
        <f>SUM(N31:N35)-0.1</f>
        <v>961.90000000000009</v>
      </c>
      <c r="O36" s="505"/>
      <c r="P36" s="535"/>
      <c r="Q36" s="440"/>
      <c r="R36" s="440"/>
      <c r="S36" s="463"/>
      <c r="T36" s="464"/>
      <c r="U36" s="301"/>
      <c r="V36" s="302"/>
    </row>
    <row r="37" spans="1:26" s="80" customFormat="1" ht="11.45" customHeight="1">
      <c r="A37" s="225"/>
      <c r="B37" s="225"/>
      <c r="C37" s="225"/>
      <c r="D37" s="225"/>
      <c r="E37" s="225"/>
      <c r="F37" s="506"/>
      <c r="G37" s="507"/>
      <c r="H37" s="235"/>
      <c r="I37" s="225"/>
      <c r="J37" s="225"/>
      <c r="K37" s="225"/>
      <c r="L37" s="225"/>
      <c r="M37" s="225"/>
      <c r="N37" s="235"/>
      <c r="O37" s="507"/>
      <c r="P37" s="235"/>
      <c r="Q37" s="235"/>
      <c r="R37" s="235"/>
      <c r="S37" s="82"/>
      <c r="V37" s="76"/>
    </row>
    <row r="38" spans="1:26" s="80" customFormat="1" ht="11.45" customHeight="1" thickBot="1">
      <c r="A38" s="224" t="s">
        <v>203</v>
      </c>
      <c r="B38" s="224"/>
      <c r="C38" s="224"/>
      <c r="D38" s="224"/>
      <c r="E38" s="224"/>
      <c r="F38" s="508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142"/>
      <c r="R38" s="461"/>
      <c r="S38" s="53"/>
      <c r="V38" s="76"/>
    </row>
    <row r="39" spans="1:26" s="80" customFormat="1" ht="11.45" customHeight="1">
      <c r="A39" s="225"/>
      <c r="B39" s="225"/>
      <c r="C39" s="225"/>
      <c r="D39" s="225"/>
      <c r="E39" s="225"/>
      <c r="F39" s="557" t="s">
        <v>6</v>
      </c>
      <c r="G39" s="557"/>
      <c r="H39" s="557"/>
      <c r="I39" s="225"/>
      <c r="J39" s="562" t="s">
        <v>233</v>
      </c>
      <c r="K39" s="562"/>
      <c r="L39" s="562"/>
      <c r="M39" s="225"/>
      <c r="N39" s="437" t="s">
        <v>21</v>
      </c>
      <c r="O39" s="534"/>
      <c r="P39" s="437"/>
      <c r="Q39" s="445"/>
      <c r="R39" s="225"/>
    </row>
    <row r="40" spans="1:26" s="80" customFormat="1" ht="11.45" customHeight="1">
      <c r="A40" s="225"/>
      <c r="B40" s="225"/>
      <c r="C40" s="225"/>
      <c r="D40" s="225"/>
      <c r="E40" s="225"/>
      <c r="F40" s="558" t="s">
        <v>232</v>
      </c>
      <c r="G40" s="558"/>
      <c r="H40" s="558"/>
      <c r="I40" s="225"/>
      <c r="J40" s="556" t="s">
        <v>232</v>
      </c>
      <c r="K40" s="556"/>
      <c r="L40" s="556"/>
      <c r="M40" s="225"/>
      <c r="N40" s="500" t="s">
        <v>1</v>
      </c>
      <c r="O40" s="500"/>
      <c r="P40" s="437"/>
      <c r="Q40" s="445"/>
      <c r="R40" s="225"/>
    </row>
    <row r="41" spans="1:26" s="80" customFormat="1" ht="11.45" customHeight="1">
      <c r="A41" s="227" t="s">
        <v>0</v>
      </c>
      <c r="B41" s="228"/>
      <c r="C41" s="228"/>
      <c r="D41" s="228"/>
      <c r="E41" s="225"/>
      <c r="F41" s="292">
        <v>2016</v>
      </c>
      <c r="G41" s="229"/>
      <c r="H41" s="230">
        <v>2015</v>
      </c>
      <c r="I41" s="225"/>
      <c r="J41" s="407">
        <v>2016</v>
      </c>
      <c r="K41" s="225"/>
      <c r="L41" s="407">
        <v>2015</v>
      </c>
      <c r="M41" s="225"/>
      <c r="N41" s="230">
        <v>2015</v>
      </c>
      <c r="O41" s="229"/>
      <c r="P41" s="450"/>
      <c r="Q41" s="225"/>
      <c r="R41" s="226"/>
      <c r="V41" s="76"/>
    </row>
    <row r="42" spans="1:26" s="45" customFormat="1" ht="11.45" customHeight="1">
      <c r="A42" s="226" t="s">
        <v>0</v>
      </c>
      <c r="B42" s="143" t="s">
        <v>160</v>
      </c>
      <c r="C42" s="143"/>
      <c r="D42" s="143"/>
      <c r="E42" s="225"/>
      <c r="F42" s="509">
        <v>0.33</v>
      </c>
      <c r="G42" s="510"/>
      <c r="H42" s="511">
        <v>0.35</v>
      </c>
      <c r="I42" s="225"/>
      <c r="J42" s="509">
        <v>0.51</v>
      </c>
      <c r="K42" s="225"/>
      <c r="L42" s="511">
        <v>0.34</v>
      </c>
      <c r="M42" s="225"/>
      <c r="N42" s="511">
        <v>0.35</v>
      </c>
      <c r="O42" s="510"/>
      <c r="P42" s="511"/>
      <c r="Q42" s="225"/>
      <c r="R42" s="226"/>
      <c r="S42" s="80"/>
      <c r="T42" s="465"/>
      <c r="U42" s="65"/>
      <c r="V42" s="59"/>
      <c r="W42" s="59"/>
      <c r="X42" s="59"/>
      <c r="Y42" s="44"/>
      <c r="Z42" s="44"/>
    </row>
    <row r="43" spans="1:26" s="63" customFormat="1" ht="11.45" customHeight="1">
      <c r="A43" s="226"/>
      <c r="B43" s="142" t="s">
        <v>161</v>
      </c>
      <c r="C43" s="142"/>
      <c r="D43" s="142"/>
      <c r="E43" s="225"/>
      <c r="F43" s="509">
        <v>0.45</v>
      </c>
      <c r="G43" s="512"/>
      <c r="H43" s="509">
        <v>0.48</v>
      </c>
      <c r="I43" s="225"/>
      <c r="J43" s="509">
        <v>0.3</v>
      </c>
      <c r="K43" s="225"/>
      <c r="L43" s="511">
        <v>0.41</v>
      </c>
      <c r="M43" s="225"/>
      <c r="N43" s="509">
        <v>0.39</v>
      </c>
      <c r="O43" s="512"/>
      <c r="P43" s="509"/>
      <c r="Q43" s="225"/>
      <c r="R43" s="226"/>
      <c r="S43" s="107"/>
      <c r="T43" s="51"/>
      <c r="W43" s="51"/>
    </row>
    <row r="44" spans="1:26" s="63" customFormat="1" ht="11.45" customHeight="1">
      <c r="A44" s="226"/>
      <c r="B44" s="143" t="s">
        <v>162</v>
      </c>
      <c r="C44" s="143"/>
      <c r="D44" s="143"/>
      <c r="E44" s="225"/>
      <c r="F44" s="513">
        <v>0.1</v>
      </c>
      <c r="G44" s="514"/>
      <c r="H44" s="513">
        <v>0.08</v>
      </c>
      <c r="I44" s="225"/>
      <c r="J44" s="509">
        <v>0.13</v>
      </c>
      <c r="K44" s="225"/>
      <c r="L44" s="511">
        <v>0.11</v>
      </c>
      <c r="M44" s="225"/>
      <c r="N44" s="513">
        <v>0.11</v>
      </c>
      <c r="O44" s="514"/>
      <c r="P44" s="513"/>
      <c r="Q44" s="225"/>
      <c r="R44" s="226"/>
      <c r="S44" s="107"/>
      <c r="T44" s="96"/>
      <c r="W44" s="51"/>
    </row>
    <row r="45" spans="1:26" s="63" customFormat="1" ht="11.45" customHeight="1">
      <c r="A45" s="225"/>
      <c r="B45" s="142" t="s">
        <v>163</v>
      </c>
      <c r="C45" s="142"/>
      <c r="D45" s="142"/>
      <c r="E45" s="225"/>
      <c r="F45" s="513">
        <v>0.02</v>
      </c>
      <c r="G45" s="514"/>
      <c r="H45" s="513">
        <v>0.01</v>
      </c>
      <c r="I45" s="225"/>
      <c r="J45" s="509">
        <v>0.02</v>
      </c>
      <c r="K45" s="225"/>
      <c r="L45" s="511">
        <v>0.02</v>
      </c>
      <c r="M45" s="225"/>
      <c r="N45" s="513">
        <v>0.03</v>
      </c>
      <c r="O45" s="514"/>
      <c r="P45" s="513"/>
      <c r="Q45" s="225"/>
      <c r="R45" s="226"/>
      <c r="S45" s="107"/>
      <c r="T45" s="96"/>
      <c r="W45" s="53"/>
    </row>
    <row r="46" spans="1:26" s="63" customFormat="1" ht="11.45" customHeight="1">
      <c r="A46" s="228"/>
      <c r="B46" s="144" t="s">
        <v>195</v>
      </c>
      <c r="C46" s="144"/>
      <c r="D46" s="144"/>
      <c r="E46" s="225"/>
      <c r="F46" s="515">
        <v>0.1</v>
      </c>
      <c r="G46" s="514"/>
      <c r="H46" s="515">
        <v>0.08</v>
      </c>
      <c r="I46" s="225"/>
      <c r="J46" s="515">
        <v>0.04</v>
      </c>
      <c r="K46" s="225"/>
      <c r="L46" s="516">
        <v>0.12</v>
      </c>
      <c r="M46" s="225"/>
      <c r="N46" s="515">
        <v>0.12</v>
      </c>
      <c r="O46" s="514"/>
      <c r="P46" s="513"/>
      <c r="Q46" s="225"/>
      <c r="R46" s="226"/>
      <c r="S46" s="107"/>
      <c r="U46" s="79"/>
      <c r="V46" s="53"/>
    </row>
    <row r="47" spans="1:26" s="63" customFormat="1" ht="11.45" customHeight="1">
      <c r="A47" s="225"/>
      <c r="B47" s="517" t="s">
        <v>204</v>
      </c>
      <c r="C47" s="518"/>
      <c r="D47" s="518"/>
      <c r="E47" s="225"/>
      <c r="F47" s="506"/>
      <c r="G47" s="507"/>
      <c r="H47" s="235"/>
      <c r="I47" s="225"/>
      <c r="J47" s="225"/>
      <c r="K47" s="225"/>
      <c r="L47" s="225"/>
      <c r="M47" s="225"/>
      <c r="N47" s="235"/>
      <c r="O47" s="507"/>
      <c r="P47" s="235"/>
      <c r="Q47" s="235"/>
      <c r="R47" s="235"/>
      <c r="S47" s="82"/>
      <c r="T47" s="452"/>
      <c r="U47" s="79"/>
      <c r="V47" s="53"/>
    </row>
    <row r="48" spans="1:26" s="63" customFormat="1" ht="11.45" customHeight="1">
      <c r="A48" s="225"/>
      <c r="B48" s="225"/>
      <c r="C48" s="225"/>
      <c r="D48" s="225"/>
      <c r="E48" s="225"/>
      <c r="F48" s="506"/>
      <c r="G48" s="507"/>
      <c r="H48" s="235"/>
      <c r="I48" s="225"/>
      <c r="J48" s="225"/>
      <c r="K48" s="225"/>
      <c r="L48" s="225"/>
      <c r="M48" s="225"/>
      <c r="N48" s="235"/>
      <c r="O48" s="507"/>
      <c r="P48" s="235"/>
      <c r="Q48" s="235"/>
      <c r="R48" s="235"/>
      <c r="S48" s="82"/>
      <c r="U48" s="79"/>
      <c r="V48" s="76"/>
    </row>
    <row r="49" spans="1:23" s="45" customFormat="1" ht="15" customHeight="1">
      <c r="A49" s="436" t="s">
        <v>201</v>
      </c>
      <c r="B49" s="435"/>
      <c r="C49" s="435"/>
      <c r="D49" s="435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458"/>
      <c r="R49" s="459"/>
      <c r="S49" s="460"/>
      <c r="T49" s="460"/>
      <c r="U49" s="84"/>
      <c r="V49" s="84"/>
      <c r="W49" s="83"/>
    </row>
    <row r="50" spans="1:23" s="45" customFormat="1" ht="11.45" customHeight="1" thickBot="1">
      <c r="A50" s="224"/>
      <c r="B50" s="224"/>
      <c r="C50" s="224"/>
      <c r="D50" s="224"/>
      <c r="E50" s="224"/>
      <c r="F50" s="508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36"/>
      <c r="R50" s="236"/>
      <c r="S50" s="465"/>
      <c r="T50" s="77"/>
      <c r="U50" s="77"/>
      <c r="V50" s="77"/>
      <c r="W50" s="53"/>
    </row>
    <row r="51" spans="1:23" s="80" customFormat="1" ht="11.45" customHeight="1">
      <c r="A51" s="225"/>
      <c r="B51" s="225"/>
      <c r="C51" s="225"/>
      <c r="D51" s="225"/>
      <c r="E51" s="225"/>
      <c r="F51" s="557" t="s">
        <v>6</v>
      </c>
      <c r="G51" s="557"/>
      <c r="H51" s="557"/>
      <c r="I51" s="225"/>
      <c r="J51" s="562" t="s">
        <v>233</v>
      </c>
      <c r="K51" s="562"/>
      <c r="L51" s="562"/>
      <c r="M51" s="225"/>
      <c r="N51" s="437" t="s">
        <v>21</v>
      </c>
      <c r="O51" s="534"/>
      <c r="P51" s="437"/>
      <c r="Q51" s="445"/>
      <c r="R51" s="225"/>
    </row>
    <row r="52" spans="1:23" s="80" customFormat="1" ht="11.45" customHeight="1">
      <c r="A52" s="225"/>
      <c r="B52" s="225"/>
      <c r="C52" s="225"/>
      <c r="D52" s="225"/>
      <c r="E52" s="225"/>
      <c r="F52" s="558" t="s">
        <v>232</v>
      </c>
      <c r="G52" s="558"/>
      <c r="H52" s="558"/>
      <c r="I52" s="225"/>
      <c r="J52" s="556" t="s">
        <v>232</v>
      </c>
      <c r="K52" s="556"/>
      <c r="L52" s="556"/>
      <c r="M52" s="225"/>
      <c r="N52" s="500" t="s">
        <v>1</v>
      </c>
      <c r="O52" s="500"/>
      <c r="P52" s="437"/>
      <c r="Q52" s="445"/>
      <c r="R52" s="225"/>
    </row>
    <row r="53" spans="1:23" s="45" customFormat="1" ht="11.45" customHeight="1">
      <c r="A53" s="519" t="s">
        <v>106</v>
      </c>
      <c r="B53" s="520"/>
      <c r="C53" s="520"/>
      <c r="D53" s="520" t="s">
        <v>0</v>
      </c>
      <c r="E53" s="196"/>
      <c r="F53" s="520">
        <v>2016</v>
      </c>
      <c r="G53" s="196"/>
      <c r="H53" s="520">
        <v>2015</v>
      </c>
      <c r="I53" s="196"/>
      <c r="J53" s="407">
        <v>2016</v>
      </c>
      <c r="K53" s="225"/>
      <c r="L53" s="407">
        <v>2015</v>
      </c>
      <c r="M53" s="196"/>
      <c r="N53" s="520">
        <v>2015</v>
      </c>
      <c r="O53" s="196"/>
      <c r="P53" s="196"/>
      <c r="Q53" s="445" t="s">
        <v>0</v>
      </c>
      <c r="R53" s="142"/>
      <c r="S53" s="63"/>
      <c r="T53" s="465"/>
      <c r="U53" s="65"/>
      <c r="V53" s="65"/>
    </row>
    <row r="54" spans="1:23" s="45" customFormat="1" ht="11.45" customHeight="1">
      <c r="A54" s="521"/>
      <c r="B54" s="196"/>
      <c r="C54" s="196"/>
      <c r="D54" s="196"/>
      <c r="E54" s="196"/>
      <c r="F54" s="196"/>
      <c r="G54" s="196"/>
      <c r="H54" s="522"/>
      <c r="I54" s="196"/>
      <c r="J54" s="196"/>
      <c r="K54" s="196"/>
      <c r="L54" s="196"/>
      <c r="M54" s="196"/>
      <c r="N54" s="522"/>
      <c r="O54" s="196"/>
      <c r="P54" s="196"/>
      <c r="Q54" s="466" t="s">
        <v>0</v>
      </c>
      <c r="R54" s="142"/>
      <c r="S54" s="63"/>
      <c r="T54" s="53"/>
      <c r="U54" s="43"/>
      <c r="V54" s="78"/>
    </row>
    <row r="55" spans="1:23" s="45" customFormat="1" ht="11.45" customHeight="1">
      <c r="A55" s="187" t="s">
        <v>0</v>
      </c>
      <c r="B55" s="187" t="s">
        <v>244</v>
      </c>
      <c r="C55" s="188"/>
      <c r="D55" s="305"/>
      <c r="E55" s="188"/>
      <c r="F55" s="158">
        <v>163.65799999999999</v>
      </c>
      <c r="G55" s="159"/>
      <c r="H55" s="158">
        <v>191.18700000000001</v>
      </c>
      <c r="I55" s="188"/>
      <c r="J55" s="158">
        <f>297+F55</f>
        <v>460.65800000000002</v>
      </c>
      <c r="K55" s="188"/>
      <c r="L55" s="158">
        <f>550.806+0.1</f>
        <v>550.90600000000006</v>
      </c>
      <c r="M55" s="188"/>
      <c r="N55" s="158">
        <v>716.4</v>
      </c>
      <c r="O55" s="159"/>
      <c r="P55" s="158"/>
      <c r="Q55" s="142"/>
      <c r="R55" s="143"/>
      <c r="S55" s="107"/>
      <c r="T55" s="63"/>
    </row>
    <row r="56" spans="1:23" s="45" customFormat="1" ht="11.45" customHeight="1">
      <c r="A56" s="187" t="s">
        <v>0</v>
      </c>
      <c r="B56" s="187" t="s">
        <v>245</v>
      </c>
      <c r="C56" s="188"/>
      <c r="D56" s="306" t="s">
        <v>0</v>
      </c>
      <c r="E56" s="188"/>
      <c r="F56" s="158">
        <v>5.8979999999999997</v>
      </c>
      <c r="G56" s="158"/>
      <c r="H56" s="158">
        <v>7.6</v>
      </c>
      <c r="I56" s="188"/>
      <c r="J56" s="158">
        <f>15+F56</f>
        <v>20.898</v>
      </c>
      <c r="K56" s="188"/>
      <c r="L56" s="158">
        <v>24.8</v>
      </c>
      <c r="M56" s="188"/>
      <c r="N56" s="158">
        <v>32.6</v>
      </c>
      <c r="O56" s="158"/>
      <c r="P56" s="158"/>
      <c r="Q56" s="142"/>
      <c r="R56" s="143"/>
      <c r="S56" s="107"/>
      <c r="T56" s="96"/>
      <c r="U56" s="61"/>
    </row>
    <row r="57" spans="1:23" s="45" customFormat="1" ht="11.45" customHeight="1">
      <c r="A57" s="523" t="s">
        <v>0</v>
      </c>
      <c r="B57" s="523" t="s">
        <v>208</v>
      </c>
      <c r="C57" s="523"/>
      <c r="D57" s="524"/>
      <c r="E57" s="188"/>
      <c r="F57" s="158">
        <v>7.7779999999999996</v>
      </c>
      <c r="G57" s="158">
        <v>11</v>
      </c>
      <c r="H57" s="158">
        <v>10.5</v>
      </c>
      <c r="I57" s="188"/>
      <c r="J57" s="158">
        <f>21.2+F57</f>
        <v>28.977999999999998</v>
      </c>
      <c r="K57" s="188"/>
      <c r="L57" s="158">
        <v>31.6</v>
      </c>
      <c r="M57" s="188"/>
      <c r="N57" s="158">
        <v>44.1</v>
      </c>
      <c r="O57" s="158"/>
      <c r="P57" s="158"/>
      <c r="Q57" s="142"/>
      <c r="R57" s="143"/>
      <c r="S57" s="107"/>
      <c r="T57" s="63"/>
    </row>
    <row r="58" spans="1:23" s="299" customFormat="1" ht="11.45" customHeight="1">
      <c r="A58" s="279"/>
      <c r="B58" s="279" t="s">
        <v>240</v>
      </c>
      <c r="C58" s="279"/>
      <c r="D58" s="525"/>
      <c r="E58" s="279"/>
      <c r="F58" s="526">
        <f>SUM(F55:F57)</f>
        <v>177.33399999999997</v>
      </c>
      <c r="G58" s="157"/>
      <c r="H58" s="526">
        <f>SUM(H55:H57)</f>
        <v>209.28700000000001</v>
      </c>
      <c r="I58" s="279"/>
      <c r="J58" s="526">
        <f>SUM(J55:J57)</f>
        <v>510.53400000000005</v>
      </c>
      <c r="K58" s="279"/>
      <c r="L58" s="526">
        <f>SUM(L55:L57)</f>
        <v>607.30600000000004</v>
      </c>
      <c r="M58" s="279"/>
      <c r="N58" s="526">
        <f>SUM(N55:N57)</f>
        <v>793.1</v>
      </c>
      <c r="O58" s="157"/>
      <c r="P58" s="157"/>
      <c r="Q58" s="239"/>
      <c r="R58" s="239"/>
      <c r="S58" s="467"/>
      <c r="T58" s="446"/>
    </row>
    <row r="59" spans="1:23" s="45" customFormat="1" ht="11.45" customHeight="1">
      <c r="A59" s="142" t="s">
        <v>0</v>
      </c>
      <c r="B59" s="142" t="s">
        <v>187</v>
      </c>
      <c r="C59" s="142"/>
      <c r="D59" s="142"/>
      <c r="E59" s="225"/>
      <c r="F59" s="158">
        <v>-63.857999999999997</v>
      </c>
      <c r="G59" s="240"/>
      <c r="H59" s="158">
        <v>-95.495000000000005</v>
      </c>
      <c r="I59" s="225"/>
      <c r="J59" s="158">
        <f>-90.1+F59</f>
        <v>-153.958</v>
      </c>
      <c r="K59" s="225"/>
      <c r="L59" s="158">
        <v>-233.108</v>
      </c>
      <c r="M59" s="225"/>
      <c r="N59" s="158">
        <v>-303.3</v>
      </c>
      <c r="O59" s="536"/>
      <c r="P59" s="240"/>
      <c r="Q59" s="240"/>
      <c r="R59" s="240"/>
      <c r="S59" s="77"/>
      <c r="T59" s="63"/>
      <c r="U59" s="63"/>
    </row>
    <row r="60" spans="1:23" s="45" customFormat="1" ht="11.45" customHeight="1">
      <c r="A60" s="142" t="s">
        <v>0</v>
      </c>
      <c r="B60" s="142" t="s">
        <v>75</v>
      </c>
      <c r="C60" s="142"/>
      <c r="D60" s="142"/>
      <c r="E60" s="225"/>
      <c r="F60" s="159">
        <v>-2.1549999999999998</v>
      </c>
      <c r="G60" s="240"/>
      <c r="H60" s="159">
        <v>-3.3</v>
      </c>
      <c r="I60" s="225"/>
      <c r="J60" s="159">
        <f>-4.5+F60</f>
        <v>-6.6549999999999994</v>
      </c>
      <c r="K60" s="225"/>
      <c r="L60" s="159">
        <v>-9.5</v>
      </c>
      <c r="M60" s="225"/>
      <c r="N60" s="159">
        <v>-12.3</v>
      </c>
      <c r="O60" s="536"/>
      <c r="P60" s="240"/>
      <c r="Q60" s="240"/>
      <c r="R60" s="240"/>
      <c r="S60" s="77"/>
      <c r="T60" s="63"/>
    </row>
    <row r="61" spans="1:23" s="45" customFormat="1" ht="11.45" customHeight="1">
      <c r="A61" s="441"/>
      <c r="B61" s="145" t="s">
        <v>241</v>
      </c>
      <c r="C61" s="145"/>
      <c r="D61" s="145"/>
      <c r="E61" s="440"/>
      <c r="F61" s="160">
        <f>SUM(F58:F60)</f>
        <v>111.32099999999997</v>
      </c>
      <c r="G61" s="527"/>
      <c r="H61" s="160">
        <f>SUM(H58:H60)</f>
        <v>110.492</v>
      </c>
      <c r="I61" s="440"/>
      <c r="J61" s="160">
        <f>SUM(J58:J60)</f>
        <v>349.92100000000005</v>
      </c>
      <c r="K61" s="440"/>
      <c r="L61" s="160">
        <f>SUM(L58:L60)</f>
        <v>364.69800000000004</v>
      </c>
      <c r="M61" s="440"/>
      <c r="N61" s="160">
        <f>SUM(N58:N60)</f>
        <v>477.5</v>
      </c>
      <c r="O61" s="536"/>
      <c r="P61" s="240"/>
      <c r="Q61" s="240"/>
      <c r="R61" s="240"/>
      <c r="S61" s="77"/>
      <c r="T61" s="63"/>
    </row>
    <row r="62" spans="1:23" s="45" customFormat="1" ht="11.45" customHeight="1">
      <c r="A62" s="142"/>
      <c r="B62" s="142"/>
      <c r="C62" s="142"/>
      <c r="D62" s="142"/>
      <c r="E62" s="225"/>
      <c r="F62" s="158"/>
      <c r="G62" s="240"/>
      <c r="H62" s="158"/>
      <c r="I62" s="225"/>
      <c r="J62" s="225"/>
      <c r="K62" s="225"/>
      <c r="L62" s="225"/>
      <c r="M62" s="225"/>
      <c r="N62" s="158"/>
      <c r="O62" s="536"/>
      <c r="P62" s="240"/>
      <c r="Q62" s="240"/>
      <c r="R62" s="240"/>
      <c r="S62" s="77"/>
      <c r="T62" s="63"/>
    </row>
    <row r="63" spans="1:23" s="45" customFormat="1" ht="11.45" customHeight="1">
      <c r="A63" s="142"/>
      <c r="B63" s="142"/>
      <c r="C63" s="142"/>
      <c r="D63" s="142"/>
      <c r="E63" s="226"/>
      <c r="F63" s="236"/>
      <c r="G63" s="237"/>
      <c r="H63" s="236"/>
      <c r="I63" s="226"/>
      <c r="J63" s="226"/>
      <c r="K63" s="226"/>
      <c r="L63" s="226"/>
      <c r="M63" s="226"/>
      <c r="N63" s="236"/>
      <c r="O63" s="237"/>
      <c r="P63" s="236"/>
      <c r="Q63" s="240"/>
      <c r="R63" s="240"/>
      <c r="S63" s="77"/>
      <c r="T63" s="63"/>
    </row>
    <row r="64" spans="1:23" s="45" customFormat="1" ht="15" customHeight="1">
      <c r="A64" s="436" t="s">
        <v>200</v>
      </c>
      <c r="B64" s="435"/>
      <c r="C64" s="435"/>
      <c r="D64" s="435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458"/>
      <c r="R64" s="459"/>
      <c r="S64" s="460"/>
      <c r="T64" s="460"/>
      <c r="U64" s="84"/>
      <c r="V64" s="84"/>
      <c r="W64" s="83"/>
    </row>
    <row r="65" spans="1:21" s="45" customFormat="1" ht="11.45" customHeight="1">
      <c r="A65" s="242"/>
      <c r="B65" s="143"/>
      <c r="C65" s="143"/>
      <c r="D65" s="143"/>
      <c r="E65" s="143"/>
      <c r="F65" s="528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2"/>
      <c r="R65" s="142"/>
      <c r="S65" s="53"/>
      <c r="T65" s="63"/>
    </row>
    <row r="66" spans="1:21" s="45" customFormat="1" ht="11.45" customHeight="1" thickBot="1">
      <c r="A66" s="224" t="s">
        <v>239</v>
      </c>
      <c r="B66" s="224"/>
      <c r="C66" s="224"/>
      <c r="D66" s="224"/>
      <c r="E66" s="224"/>
      <c r="F66" s="508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142"/>
      <c r="R66" s="142"/>
      <c r="S66" s="51"/>
      <c r="T66" s="63"/>
    </row>
    <row r="67" spans="1:21" s="80" customFormat="1" ht="11.45" customHeight="1">
      <c r="A67" s="225"/>
      <c r="B67" s="225"/>
      <c r="C67" s="225"/>
      <c r="D67" s="225"/>
      <c r="E67" s="225"/>
      <c r="F67" s="557" t="s">
        <v>6</v>
      </c>
      <c r="G67" s="557"/>
      <c r="H67" s="557"/>
      <c r="I67" s="225"/>
      <c r="J67" s="562" t="s">
        <v>233</v>
      </c>
      <c r="K67" s="562"/>
      <c r="L67" s="562"/>
      <c r="M67" s="225"/>
      <c r="N67" s="437" t="s">
        <v>21</v>
      </c>
      <c r="O67" s="499"/>
      <c r="P67" s="437"/>
      <c r="Q67" s="445"/>
      <c r="R67" s="225"/>
    </row>
    <row r="68" spans="1:21" s="80" customFormat="1" ht="11.45" customHeight="1">
      <c r="A68" s="225"/>
      <c r="B68" s="225"/>
      <c r="C68" s="225"/>
      <c r="D68" s="225"/>
      <c r="E68" s="225"/>
      <c r="F68" s="558" t="s">
        <v>232</v>
      </c>
      <c r="G68" s="558"/>
      <c r="H68" s="558"/>
      <c r="I68" s="225"/>
      <c r="J68" s="556" t="s">
        <v>232</v>
      </c>
      <c r="K68" s="556"/>
      <c r="L68" s="556"/>
      <c r="M68" s="225"/>
      <c r="N68" s="500" t="s">
        <v>1</v>
      </c>
      <c r="O68" s="442"/>
      <c r="P68" s="437"/>
      <c r="Q68" s="445"/>
      <c r="R68" s="225"/>
    </row>
    <row r="69" spans="1:21" s="45" customFormat="1" ht="11.45" customHeight="1">
      <c r="A69" s="146" t="s">
        <v>106</v>
      </c>
      <c r="B69" s="144"/>
      <c r="C69" s="144"/>
      <c r="D69" s="144"/>
      <c r="E69" s="142"/>
      <c r="F69" s="292">
        <v>2016</v>
      </c>
      <c r="G69" s="229"/>
      <c r="H69" s="230">
        <f>+$N$29</f>
        <v>2015</v>
      </c>
      <c r="I69" s="142"/>
      <c r="J69" s="407">
        <v>2016</v>
      </c>
      <c r="K69" s="225"/>
      <c r="L69" s="407">
        <v>2015</v>
      </c>
      <c r="M69" s="142"/>
      <c r="N69" s="230">
        <f>+$N$29</f>
        <v>2015</v>
      </c>
      <c r="O69" s="229"/>
      <c r="P69" s="450"/>
      <c r="Q69" s="450"/>
      <c r="R69" s="450"/>
      <c r="S69" s="63"/>
      <c r="T69" s="63"/>
    </row>
    <row r="70" spans="1:21" s="45" customFormat="1" ht="11.45" customHeight="1">
      <c r="A70" s="256"/>
      <c r="B70" s="142"/>
      <c r="C70" s="142"/>
      <c r="D70" s="142"/>
      <c r="E70" s="142"/>
      <c r="F70" s="169" t="s">
        <v>0</v>
      </c>
      <c r="G70" s="169"/>
      <c r="H70" s="169"/>
      <c r="I70" s="142"/>
      <c r="J70" s="142"/>
      <c r="K70" s="142"/>
      <c r="L70" s="142"/>
      <c r="M70" s="142"/>
      <c r="N70" s="169"/>
      <c r="O70" s="169"/>
      <c r="P70" s="169"/>
      <c r="Q70" s="169"/>
      <c r="R70" s="468"/>
      <c r="S70" s="63"/>
      <c r="T70" s="63"/>
    </row>
    <row r="71" spans="1:21" s="45" customFormat="1" ht="11.45" customHeight="1">
      <c r="A71" s="143"/>
      <c r="B71" s="143" t="s">
        <v>74</v>
      </c>
      <c r="C71" s="143"/>
      <c r="D71" s="143"/>
      <c r="E71" s="142"/>
      <c r="F71" s="158">
        <f>55.264</f>
        <v>55.264000000000003</v>
      </c>
      <c r="G71" s="158"/>
      <c r="H71" s="158">
        <v>60.2</v>
      </c>
      <c r="I71" s="142"/>
      <c r="J71" s="409">
        <f>108.6+F71+0.1</f>
        <v>163.964</v>
      </c>
      <c r="K71" s="142"/>
      <c r="L71" s="159">
        <v>191</v>
      </c>
      <c r="M71" s="142"/>
      <c r="N71" s="158">
        <v>245.2</v>
      </c>
      <c r="O71" s="158"/>
      <c r="P71" s="158"/>
      <c r="Q71" s="63"/>
      <c r="R71" s="63"/>
      <c r="S71" s="63"/>
      <c r="T71" s="63"/>
    </row>
    <row r="72" spans="1:21" s="45" customFormat="1" ht="11.45" customHeight="1">
      <c r="A72" s="143"/>
      <c r="B72" s="143" t="s">
        <v>116</v>
      </c>
      <c r="C72" s="143"/>
      <c r="D72" s="143"/>
      <c r="E72" s="142"/>
      <c r="F72" s="158">
        <v>-23.327000000000002</v>
      </c>
      <c r="G72" s="158"/>
      <c r="H72" s="158">
        <v>-32.799999999999997</v>
      </c>
      <c r="I72" s="142"/>
      <c r="J72" s="158">
        <f>-25.8+F72+0.1</f>
        <v>-49.027000000000001</v>
      </c>
      <c r="K72" s="142"/>
      <c r="L72" s="158">
        <v>-87.6</v>
      </c>
      <c r="M72" s="142"/>
      <c r="N72" s="158">
        <v>-104.2</v>
      </c>
      <c r="O72" s="158"/>
      <c r="P72" s="204"/>
      <c r="Q72" s="452"/>
      <c r="R72" s="63"/>
      <c r="S72" s="63"/>
      <c r="T72" s="63"/>
    </row>
    <row r="73" spans="1:21" s="48" customFormat="1" ht="11.45" customHeight="1">
      <c r="A73" s="142"/>
      <c r="B73" s="142" t="s">
        <v>73</v>
      </c>
      <c r="C73" s="142"/>
      <c r="D73" s="142"/>
      <c r="E73" s="142"/>
      <c r="F73" s="159">
        <f>88.617-2.433</f>
        <v>86.183999999999997</v>
      </c>
      <c r="G73" s="159"/>
      <c r="H73" s="159">
        <v>78.7</v>
      </c>
      <c r="I73" s="142"/>
      <c r="J73" s="409">
        <f>131-14.6+F73</f>
        <v>202.584</v>
      </c>
      <c r="K73" s="142"/>
      <c r="L73" s="142">
        <v>225.8</v>
      </c>
      <c r="M73" s="142"/>
      <c r="N73" s="159">
        <v>327.60000000000002</v>
      </c>
      <c r="O73" s="159"/>
      <c r="P73" s="159"/>
      <c r="Q73" s="244"/>
      <c r="R73" s="244"/>
      <c r="S73" s="484"/>
      <c r="T73" s="485"/>
    </row>
    <row r="74" spans="1:21" s="45" customFormat="1" ht="11.45" customHeight="1">
      <c r="A74" s="144"/>
      <c r="B74" s="144" t="s">
        <v>254</v>
      </c>
      <c r="C74" s="144"/>
      <c r="D74" s="144"/>
      <c r="E74" s="142"/>
      <c r="F74" s="202">
        <v>0</v>
      </c>
      <c r="G74" s="158"/>
      <c r="H74" s="202">
        <v>0</v>
      </c>
      <c r="I74" s="142"/>
      <c r="J74" s="438">
        <f>14.6+F74</f>
        <v>14.6</v>
      </c>
      <c r="K74" s="142"/>
      <c r="L74" s="202">
        <v>0</v>
      </c>
      <c r="M74" s="142"/>
      <c r="N74" s="202">
        <v>0</v>
      </c>
      <c r="O74" s="158"/>
      <c r="P74" s="158"/>
      <c r="Q74" s="244"/>
      <c r="R74" s="238"/>
      <c r="S74" s="427"/>
      <c r="T74" s="63"/>
    </row>
    <row r="75" spans="1:21" s="45" customFormat="1" ht="11.45" customHeight="1">
      <c r="A75" s="142"/>
      <c r="B75" s="142" t="s">
        <v>242</v>
      </c>
      <c r="C75" s="142"/>
      <c r="D75" s="142"/>
      <c r="E75" s="142"/>
      <c r="F75" s="157">
        <f>SUM(F71:F74)</f>
        <v>118.121</v>
      </c>
      <c r="G75" s="156"/>
      <c r="H75" s="157">
        <f>SUM(H71:H74)</f>
        <v>106.10000000000001</v>
      </c>
      <c r="I75" s="141"/>
      <c r="J75" s="157">
        <f>SUM(J71:J74)</f>
        <v>332.12100000000004</v>
      </c>
      <c r="K75" s="141"/>
      <c r="L75" s="157">
        <f>SUM(L71:L74)</f>
        <v>329.20000000000005</v>
      </c>
      <c r="M75" s="141"/>
      <c r="N75" s="157">
        <f>SUM(N71:N74)-0.06</f>
        <v>468.54</v>
      </c>
      <c r="O75" s="158"/>
      <c r="P75" s="158"/>
      <c r="Q75" s="244"/>
      <c r="R75" s="238"/>
      <c r="S75" s="427"/>
      <c r="T75" s="63"/>
    </row>
    <row r="76" spans="1:21" s="45" customFormat="1" ht="11.45" customHeight="1">
      <c r="A76" s="143"/>
      <c r="B76" s="143" t="s">
        <v>191</v>
      </c>
      <c r="C76" s="142"/>
      <c r="D76" s="142"/>
      <c r="E76" s="142"/>
      <c r="F76" s="158">
        <f>-0.0015+2.433+6.745</f>
        <v>9.1765000000000008</v>
      </c>
      <c r="G76" s="158"/>
      <c r="H76" s="158">
        <v>65.3</v>
      </c>
      <c r="I76" s="142"/>
      <c r="J76" s="409">
        <f>4.2+F76</f>
        <v>13.3765</v>
      </c>
      <c r="K76" s="142"/>
      <c r="L76" s="142">
        <v>122.3</v>
      </c>
      <c r="M76" s="142"/>
      <c r="N76" s="158">
        <f>397.2+0.02</f>
        <v>397.21999999999997</v>
      </c>
      <c r="O76" s="158"/>
      <c r="P76" s="158"/>
      <c r="Q76" s="244"/>
      <c r="R76" s="238"/>
      <c r="S76" s="427"/>
      <c r="T76" s="63"/>
    </row>
    <row r="77" spans="1:21" s="45" customFormat="1" ht="11.45" customHeight="1">
      <c r="A77" s="187" t="s">
        <v>197</v>
      </c>
      <c r="B77" s="187"/>
      <c r="C77" s="523"/>
      <c r="D77" s="524" t="s">
        <v>0</v>
      </c>
      <c r="E77" s="188"/>
      <c r="F77" s="158">
        <v>-3.085</v>
      </c>
      <c r="G77" s="158"/>
      <c r="H77" s="202">
        <v>6.5</v>
      </c>
      <c r="I77" s="188"/>
      <c r="J77" s="202">
        <f>5.6+F77</f>
        <v>2.5149999999999997</v>
      </c>
      <c r="K77" s="188"/>
      <c r="L77" s="431">
        <v>13.9</v>
      </c>
      <c r="M77" s="188"/>
      <c r="N77" s="202">
        <v>49</v>
      </c>
      <c r="O77" s="158"/>
      <c r="P77" s="158"/>
      <c r="Q77" s="142"/>
      <c r="R77" s="143"/>
      <c r="S77" s="63"/>
      <c r="T77" s="63"/>
    </row>
    <row r="78" spans="1:21" s="45" customFormat="1" ht="11.45" customHeight="1">
      <c r="A78" s="441"/>
      <c r="B78" s="145" t="s">
        <v>243</v>
      </c>
      <c r="C78" s="144"/>
      <c r="D78" s="144"/>
      <c r="E78" s="142"/>
      <c r="F78" s="160">
        <f>SUM(F75:F77)</f>
        <v>124.21250000000001</v>
      </c>
      <c r="G78" s="158"/>
      <c r="H78" s="160">
        <f>SUM(H75:H77)</f>
        <v>177.9</v>
      </c>
      <c r="I78" s="142"/>
      <c r="J78" s="160">
        <f>SUM(J75:J77)</f>
        <v>348.01250000000005</v>
      </c>
      <c r="K78" s="142"/>
      <c r="L78" s="160">
        <f>SUM(L75:L77)</f>
        <v>465.40000000000003</v>
      </c>
      <c r="M78" s="142"/>
      <c r="N78" s="160">
        <f>SUM(N75:N77)</f>
        <v>914.76</v>
      </c>
      <c r="O78" s="158"/>
      <c r="P78" s="157"/>
      <c r="Q78" s="461"/>
      <c r="R78" s="447"/>
      <c r="S78" s="63"/>
      <c r="T78" s="63"/>
    </row>
    <row r="79" spans="1:21" s="45" customFormat="1" ht="11.45" customHeight="1">
      <c r="A79" s="143"/>
      <c r="B79" s="143"/>
      <c r="C79" s="143"/>
      <c r="D79" s="143"/>
      <c r="E79" s="143"/>
      <c r="F79" s="284"/>
      <c r="G79" s="238"/>
      <c r="H79" s="293"/>
      <c r="I79" s="143"/>
      <c r="J79" s="143"/>
      <c r="K79" s="143"/>
      <c r="L79" s="143"/>
      <c r="M79" s="143"/>
      <c r="N79" s="293"/>
      <c r="O79" s="238"/>
      <c r="P79" s="238"/>
      <c r="Q79" s="244"/>
      <c r="R79" s="293"/>
      <c r="S79" s="63"/>
      <c r="T79" s="63"/>
    </row>
    <row r="80" spans="1:21" s="45" customFormat="1" ht="11.45" customHeight="1">
      <c r="A80" s="443"/>
      <c r="B80" s="143"/>
      <c r="C80" s="143"/>
      <c r="D80" s="143"/>
      <c r="E80" s="143"/>
      <c r="F80" s="238"/>
      <c r="G80" s="238"/>
      <c r="H80" s="238"/>
      <c r="I80" s="143"/>
      <c r="J80" s="143"/>
      <c r="K80" s="143"/>
      <c r="L80" s="143"/>
      <c r="M80" s="143"/>
      <c r="N80" s="238"/>
      <c r="O80" s="238"/>
      <c r="P80" s="238"/>
      <c r="Q80" s="244"/>
      <c r="R80" s="293"/>
      <c r="S80" s="63"/>
      <c r="T80" s="57"/>
      <c r="U80" s="58"/>
    </row>
    <row r="81" spans="1:23" s="45" customFormat="1" ht="11.45" customHeight="1" thickBot="1">
      <c r="A81" s="550" t="s">
        <v>257</v>
      </c>
      <c r="B81" s="224"/>
      <c r="C81" s="224"/>
      <c r="D81" s="224"/>
      <c r="E81" s="224"/>
      <c r="F81" s="255"/>
      <c r="G81" s="238"/>
      <c r="H81" s="238"/>
      <c r="I81" s="224"/>
      <c r="J81" s="143"/>
      <c r="K81" s="143"/>
      <c r="L81" s="143"/>
      <c r="M81" s="224"/>
      <c r="N81" s="255"/>
      <c r="O81" s="255"/>
      <c r="P81" s="255"/>
      <c r="Q81" s="244"/>
      <c r="R81" s="293"/>
      <c r="S81" s="63"/>
      <c r="T81" s="57"/>
      <c r="U81" s="58"/>
    </row>
    <row r="82" spans="1:23" s="80" customFormat="1" ht="11.45" customHeight="1">
      <c r="A82" s="225"/>
      <c r="B82" s="225"/>
      <c r="C82" s="225"/>
      <c r="D82" s="225"/>
      <c r="E82" s="225"/>
      <c r="F82" s="561" t="s">
        <v>6</v>
      </c>
      <c r="G82" s="557"/>
      <c r="H82" s="557"/>
      <c r="I82" s="225"/>
      <c r="J82" s="562" t="s">
        <v>233</v>
      </c>
      <c r="K82" s="562"/>
      <c r="L82" s="562"/>
      <c r="M82" s="225"/>
      <c r="N82" s="437" t="s">
        <v>21</v>
      </c>
      <c r="O82" s="437"/>
      <c r="P82" s="437"/>
      <c r="Q82" s="445"/>
      <c r="R82" s="225"/>
    </row>
    <row r="83" spans="1:23" s="80" customFormat="1" ht="11.45" customHeight="1">
      <c r="A83" s="225"/>
      <c r="B83" s="225"/>
      <c r="C83" s="225"/>
      <c r="D83" s="225"/>
      <c r="E83" s="225"/>
      <c r="F83" s="558" t="s">
        <v>232</v>
      </c>
      <c r="G83" s="558"/>
      <c r="H83" s="558"/>
      <c r="I83" s="225"/>
      <c r="J83" s="556" t="s">
        <v>232</v>
      </c>
      <c r="K83" s="556"/>
      <c r="L83" s="556"/>
      <c r="M83" s="225"/>
      <c r="N83" s="549" t="s">
        <v>1</v>
      </c>
      <c r="O83" s="442"/>
      <c r="P83" s="437"/>
      <c r="Q83" s="445"/>
      <c r="R83" s="225"/>
    </row>
    <row r="84" spans="1:23" s="45" customFormat="1" ht="11.45" customHeight="1">
      <c r="A84" s="146" t="s">
        <v>106</v>
      </c>
      <c r="B84" s="144"/>
      <c r="C84" s="144"/>
      <c r="D84" s="144"/>
      <c r="E84" s="142"/>
      <c r="F84" s="292">
        <v>2016</v>
      </c>
      <c r="G84" s="229"/>
      <c r="H84" s="230">
        <f>+$N$29</f>
        <v>2015</v>
      </c>
      <c r="I84" s="142"/>
      <c r="J84" s="407">
        <v>2016</v>
      </c>
      <c r="K84" s="225"/>
      <c r="L84" s="407">
        <v>2015</v>
      </c>
      <c r="M84" s="142"/>
      <c r="N84" s="230">
        <f>+$N$29</f>
        <v>2015</v>
      </c>
      <c r="O84" s="229"/>
      <c r="P84" s="450"/>
      <c r="Q84" s="450"/>
      <c r="R84" s="450"/>
      <c r="S84" s="63"/>
      <c r="T84" s="63"/>
    </row>
    <row r="85" spans="1:23" s="45" customFormat="1" ht="11.45" customHeight="1">
      <c r="A85" s="256"/>
      <c r="B85" s="142"/>
      <c r="C85" s="142"/>
      <c r="D85" s="142"/>
      <c r="E85" s="142"/>
      <c r="F85" s="169" t="s">
        <v>0</v>
      </c>
      <c r="G85" s="169"/>
      <c r="H85" s="169"/>
      <c r="I85" s="142"/>
      <c r="J85" s="142"/>
      <c r="K85" s="142"/>
      <c r="L85" s="142"/>
      <c r="M85" s="142"/>
      <c r="N85" s="169"/>
      <c r="O85" s="169"/>
      <c r="P85" s="169"/>
      <c r="Q85" s="169"/>
      <c r="R85" s="468"/>
      <c r="S85" s="63"/>
      <c r="T85" s="63"/>
    </row>
    <row r="86" spans="1:23" s="45" customFormat="1" ht="11.45" customHeight="1">
      <c r="A86" s="143"/>
      <c r="B86" s="143" t="s">
        <v>260</v>
      </c>
      <c r="C86" s="143"/>
      <c r="D86" s="143"/>
      <c r="E86" s="142"/>
      <c r="F86" s="158">
        <v>0</v>
      </c>
      <c r="G86" s="158"/>
      <c r="H86" s="158">
        <v>64.7</v>
      </c>
      <c r="I86" s="142"/>
      <c r="J86" s="409">
        <v>4.2</v>
      </c>
      <c r="K86" s="142"/>
      <c r="L86" s="159">
        <f>121.7</f>
        <v>121.7</v>
      </c>
      <c r="M86" s="142"/>
      <c r="N86" s="158">
        <f>122.2</f>
        <v>122.2</v>
      </c>
      <c r="O86" s="158"/>
      <c r="P86" s="158"/>
      <c r="Q86" s="63"/>
      <c r="R86" s="63"/>
      <c r="S86" s="63"/>
      <c r="T86" s="63"/>
    </row>
    <row r="87" spans="1:23" s="45" customFormat="1" ht="11.45" customHeight="1">
      <c r="A87" s="143"/>
      <c r="B87" s="142" t="s">
        <v>258</v>
      </c>
      <c r="C87" s="143"/>
      <c r="D87" s="143"/>
      <c r="E87" s="142"/>
      <c r="F87" s="158">
        <v>9.1999999999999993</v>
      </c>
      <c r="G87" s="158"/>
      <c r="H87" s="158">
        <v>0</v>
      </c>
      <c r="I87" s="142"/>
      <c r="J87" s="158">
        <v>9.1999999999999993</v>
      </c>
      <c r="K87" s="142"/>
      <c r="L87" s="158">
        <v>0</v>
      </c>
      <c r="M87" s="142"/>
      <c r="N87" s="158">
        <v>102.5</v>
      </c>
      <c r="O87" s="158"/>
      <c r="P87" s="204"/>
      <c r="Q87" s="452"/>
      <c r="R87" s="63"/>
      <c r="S87" s="63"/>
      <c r="T87" s="63"/>
    </row>
    <row r="88" spans="1:23" s="45" customFormat="1" ht="11.45" customHeight="1">
      <c r="A88" s="143"/>
      <c r="B88" s="142" t="s">
        <v>26</v>
      </c>
      <c r="C88" s="143"/>
      <c r="D88" s="143"/>
      <c r="E88" s="142"/>
      <c r="F88" s="158">
        <v>0</v>
      </c>
      <c r="G88" s="158"/>
      <c r="H88" s="158">
        <v>0</v>
      </c>
      <c r="I88" s="142"/>
      <c r="J88" s="158">
        <v>0</v>
      </c>
      <c r="K88" s="142"/>
      <c r="L88" s="158">
        <v>0</v>
      </c>
      <c r="M88" s="142"/>
      <c r="N88" s="158">
        <v>139.9</v>
      </c>
      <c r="O88" s="158"/>
      <c r="P88" s="204"/>
      <c r="Q88" s="452"/>
      <c r="R88" s="63"/>
      <c r="S88" s="63"/>
      <c r="T88" s="63"/>
    </row>
    <row r="89" spans="1:23" s="48" customFormat="1" ht="11.45" customHeight="1">
      <c r="A89" s="142"/>
      <c r="B89" s="142" t="s">
        <v>259</v>
      </c>
      <c r="C89" s="144"/>
      <c r="D89" s="144"/>
      <c r="E89" s="142"/>
      <c r="F89" s="159">
        <v>0</v>
      </c>
      <c r="G89" s="159"/>
      <c r="H89" s="159">
        <v>0.6</v>
      </c>
      <c r="I89" s="142"/>
      <c r="J89" s="158">
        <v>0</v>
      </c>
      <c r="K89" s="142"/>
      <c r="L89" s="158">
        <v>0.6</v>
      </c>
      <c r="M89" s="142"/>
      <c r="N89" s="159">
        <v>32.6</v>
      </c>
      <c r="O89" s="159"/>
      <c r="P89" s="159"/>
      <c r="Q89" s="244"/>
      <c r="R89" s="244"/>
      <c r="S89" s="484"/>
      <c r="T89" s="485"/>
    </row>
    <row r="90" spans="1:23" s="45" customFormat="1" ht="11.45" customHeight="1">
      <c r="A90" s="441"/>
      <c r="B90" s="145" t="s">
        <v>243</v>
      </c>
      <c r="C90" s="144"/>
      <c r="D90" s="144"/>
      <c r="E90" s="142"/>
      <c r="F90" s="160">
        <f>SUM(F86:F89)</f>
        <v>9.1999999999999993</v>
      </c>
      <c r="G90" s="158"/>
      <c r="H90" s="160">
        <f>SUM(H86:H89)</f>
        <v>65.3</v>
      </c>
      <c r="I90" s="142"/>
      <c r="J90" s="160">
        <f>SUM(J86:J89)</f>
        <v>13.399999999999999</v>
      </c>
      <c r="K90" s="142"/>
      <c r="L90" s="160">
        <f>SUM(L86:L89)</f>
        <v>122.3</v>
      </c>
      <c r="M90" s="142"/>
      <c r="N90" s="160">
        <f>SUM(N86:N89)</f>
        <v>397.20000000000005</v>
      </c>
      <c r="O90" s="158"/>
      <c r="P90" s="157"/>
      <c r="Q90" s="461"/>
      <c r="R90" s="447"/>
      <c r="S90" s="63"/>
      <c r="T90" s="63"/>
    </row>
    <row r="91" spans="1:23" s="45" customFormat="1" ht="11.45" customHeight="1">
      <c r="A91" s="142"/>
      <c r="B91" s="142"/>
      <c r="C91" s="142"/>
      <c r="D91" s="142"/>
      <c r="E91" s="142"/>
      <c r="F91" s="159"/>
      <c r="G91" s="158"/>
      <c r="H91" s="159"/>
      <c r="I91" s="142"/>
      <c r="J91" s="409"/>
      <c r="K91" s="142"/>
      <c r="L91" s="159"/>
      <c r="M91" s="142"/>
      <c r="N91" s="159"/>
      <c r="O91" s="158"/>
      <c r="P91" s="158"/>
      <c r="Q91" s="244"/>
      <c r="R91" s="238"/>
      <c r="S91" s="427"/>
      <c r="T91" s="63"/>
    </row>
    <row r="92" spans="1:23" s="45" customFormat="1" ht="11.45" customHeight="1">
      <c r="A92" s="142" t="s">
        <v>261</v>
      </c>
      <c r="B92" s="142"/>
      <c r="C92" s="142"/>
      <c r="D92" s="142"/>
      <c r="E92" s="142"/>
      <c r="F92" s="159"/>
      <c r="G92" s="158"/>
      <c r="H92" s="159"/>
      <c r="I92" s="142"/>
      <c r="J92" s="409"/>
      <c r="K92" s="142"/>
      <c r="L92" s="159"/>
      <c r="M92" s="142"/>
      <c r="N92" s="159"/>
      <c r="O92" s="158"/>
      <c r="P92" s="158"/>
      <c r="Q92" s="244"/>
      <c r="R92" s="238"/>
      <c r="S92" s="427"/>
      <c r="T92" s="63"/>
    </row>
    <row r="93" spans="1:23" s="45" customFormat="1" ht="11.45" customHeight="1">
      <c r="A93" s="142"/>
      <c r="B93" s="142"/>
      <c r="C93" s="142"/>
      <c r="D93" s="142"/>
      <c r="E93" s="142"/>
      <c r="F93" s="159"/>
      <c r="G93" s="158"/>
      <c r="H93" s="159"/>
      <c r="I93" s="142"/>
      <c r="J93" s="409"/>
      <c r="K93" s="142"/>
      <c r="L93" s="159"/>
      <c r="M93" s="142"/>
      <c r="N93" s="159"/>
      <c r="O93" s="158"/>
      <c r="P93" s="158"/>
      <c r="Q93" s="244"/>
      <c r="R93" s="238"/>
      <c r="S93" s="427"/>
      <c r="T93" s="63"/>
    </row>
    <row r="94" spans="1:23" s="45" customFormat="1" ht="15" customHeight="1">
      <c r="A94" s="436" t="s">
        <v>216</v>
      </c>
      <c r="B94" s="435"/>
      <c r="C94" s="435"/>
      <c r="D94" s="435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458"/>
      <c r="R94" s="459"/>
      <c r="S94" s="460"/>
      <c r="T94" s="460"/>
      <c r="U94" s="84"/>
      <c r="V94" s="84"/>
      <c r="W94" s="83"/>
    </row>
    <row r="95" spans="1:23" s="45" customFormat="1" ht="11.45" customHeight="1">
      <c r="A95" s="443"/>
      <c r="B95" s="143"/>
      <c r="C95" s="143"/>
      <c r="D95" s="143"/>
      <c r="E95" s="143"/>
      <c r="F95" s="238"/>
      <c r="G95" s="238"/>
      <c r="H95" s="238"/>
      <c r="I95" s="143"/>
      <c r="J95" s="143"/>
      <c r="K95" s="143"/>
      <c r="L95" s="143"/>
      <c r="M95" s="143"/>
      <c r="N95" s="238"/>
      <c r="O95" s="238"/>
      <c r="P95" s="238"/>
      <c r="Q95" s="244"/>
      <c r="R95" s="293"/>
      <c r="S95" s="63"/>
      <c r="T95" s="57"/>
      <c r="U95" s="58"/>
    </row>
    <row r="96" spans="1:23" s="45" customFormat="1" ht="15" customHeight="1">
      <c r="A96" s="436" t="s">
        <v>209</v>
      </c>
      <c r="B96" s="435"/>
      <c r="C96" s="435"/>
      <c r="D96" s="435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458"/>
      <c r="R96" s="459"/>
      <c r="S96" s="460"/>
      <c r="T96" s="460"/>
      <c r="U96" s="84"/>
      <c r="V96" s="84"/>
      <c r="W96" s="83"/>
    </row>
    <row r="97" spans="1:23" s="45" customFormat="1" ht="11.45" customHeight="1">
      <c r="A97" s="242"/>
      <c r="B97" s="143"/>
      <c r="C97" s="143"/>
      <c r="D97" s="143"/>
      <c r="E97" s="143"/>
      <c r="F97" s="252"/>
      <c r="G97" s="238"/>
      <c r="H97" s="238"/>
      <c r="I97" s="143"/>
      <c r="J97" s="143"/>
      <c r="K97" s="143"/>
      <c r="L97" s="143"/>
      <c r="M97" s="143"/>
      <c r="N97" s="238"/>
      <c r="O97" s="238"/>
      <c r="P97" s="238"/>
      <c r="Q97" s="244"/>
      <c r="R97" s="244"/>
      <c r="S97" s="63"/>
      <c r="T97" s="55"/>
    </row>
    <row r="98" spans="1:23" s="45" customFormat="1" ht="11.45" customHeight="1" thickBot="1">
      <c r="A98" s="224" t="s">
        <v>112</v>
      </c>
      <c r="B98" s="224"/>
      <c r="C98" s="224"/>
      <c r="D98" s="224"/>
      <c r="E98" s="224"/>
      <c r="F98" s="255"/>
      <c r="G98" s="255"/>
      <c r="H98" s="255"/>
      <c r="I98" s="224"/>
      <c r="J98" s="224"/>
      <c r="K98" s="224"/>
      <c r="L98" s="224"/>
      <c r="M98" s="224"/>
      <c r="N98" s="255"/>
      <c r="O98" s="255"/>
      <c r="P98" s="255"/>
      <c r="Q98" s="244"/>
      <c r="R98" s="244"/>
      <c r="S98" s="63"/>
      <c r="T98" s="63"/>
    </row>
    <row r="99" spans="1:23" s="80" customFormat="1" ht="11.45" customHeight="1">
      <c r="A99" s="225"/>
      <c r="B99" s="225"/>
      <c r="C99" s="225"/>
      <c r="D99" s="225"/>
      <c r="E99" s="225"/>
      <c r="F99" s="557" t="s">
        <v>6</v>
      </c>
      <c r="G99" s="557"/>
      <c r="H99" s="557"/>
      <c r="I99" s="225"/>
      <c r="J99" s="562" t="s">
        <v>233</v>
      </c>
      <c r="K99" s="562"/>
      <c r="L99" s="562"/>
      <c r="M99" s="225"/>
      <c r="N99" s="437" t="s">
        <v>21</v>
      </c>
      <c r="O99" s="534"/>
      <c r="P99" s="437"/>
      <c r="Q99" s="445"/>
      <c r="R99" s="225"/>
    </row>
    <row r="100" spans="1:23" s="80" customFormat="1" ht="11.45" customHeight="1">
      <c r="A100" s="225"/>
      <c r="B100" s="225"/>
      <c r="C100" s="225"/>
      <c r="D100" s="225"/>
      <c r="E100" s="225"/>
      <c r="F100" s="558" t="s">
        <v>232</v>
      </c>
      <c r="G100" s="558"/>
      <c r="H100" s="558"/>
      <c r="I100" s="225"/>
      <c r="J100" s="556" t="s">
        <v>232</v>
      </c>
      <c r="K100" s="556"/>
      <c r="L100" s="556"/>
      <c r="M100" s="225"/>
      <c r="N100" s="500" t="s">
        <v>1</v>
      </c>
      <c r="O100" s="442"/>
      <c r="P100" s="437"/>
      <c r="Q100" s="445"/>
      <c r="R100" s="225"/>
    </row>
    <row r="101" spans="1:23" s="45" customFormat="1" ht="11.45" customHeight="1">
      <c r="A101" s="146" t="s">
        <v>106</v>
      </c>
      <c r="B101" s="144"/>
      <c r="C101" s="144"/>
      <c r="D101" s="144"/>
      <c r="E101" s="142"/>
      <c r="F101" s="292">
        <v>2016</v>
      </c>
      <c r="G101" s="229"/>
      <c r="H101" s="230">
        <v>2015</v>
      </c>
      <c r="I101" s="142"/>
      <c r="J101" s="407">
        <v>2016</v>
      </c>
      <c r="K101" s="225"/>
      <c r="L101" s="407">
        <v>2015</v>
      </c>
      <c r="M101" s="142"/>
      <c r="N101" s="230">
        <v>2015</v>
      </c>
      <c r="O101" s="229"/>
      <c r="P101" s="450"/>
      <c r="Q101" s="450"/>
      <c r="R101" s="450"/>
      <c r="S101" s="63"/>
      <c r="T101" s="63"/>
    </row>
    <row r="102" spans="1:23" s="45" customFormat="1" ht="11.45" customHeight="1">
      <c r="A102" s="256"/>
      <c r="B102" s="142"/>
      <c r="C102" s="142"/>
      <c r="D102" s="142"/>
      <c r="E102" s="142"/>
      <c r="F102" s="169" t="s">
        <v>0</v>
      </c>
      <c r="G102" s="169"/>
      <c r="H102" s="169"/>
      <c r="I102" s="142"/>
      <c r="J102" s="142"/>
      <c r="K102" s="142"/>
      <c r="L102" s="142"/>
      <c r="M102" s="142"/>
      <c r="N102" s="169"/>
      <c r="O102" s="169"/>
      <c r="P102" s="169"/>
      <c r="Q102" s="169"/>
      <c r="R102" s="169"/>
      <c r="S102" s="63"/>
      <c r="T102" s="63"/>
    </row>
    <row r="103" spans="1:23" s="45" customFormat="1" ht="11.45" customHeight="1">
      <c r="A103" s="143"/>
      <c r="B103" s="143" t="s">
        <v>72</v>
      </c>
      <c r="C103" s="143"/>
      <c r="D103" s="143"/>
      <c r="E103" s="142"/>
      <c r="F103" s="158">
        <v>-17.373999999999999</v>
      </c>
      <c r="G103" s="158"/>
      <c r="H103" s="158">
        <v>-14.5</v>
      </c>
      <c r="I103" s="142"/>
      <c r="J103" s="158">
        <f>-31.2+F103</f>
        <v>-48.573999999999998</v>
      </c>
      <c r="K103" s="142"/>
      <c r="L103" s="158">
        <v>-43.2</v>
      </c>
      <c r="M103" s="142"/>
      <c r="N103" s="158">
        <v>-58.2</v>
      </c>
      <c r="O103" s="158"/>
      <c r="P103" s="158"/>
      <c r="Q103" s="159"/>
      <c r="R103" s="158"/>
      <c r="S103" s="470"/>
      <c r="T103" s="63"/>
    </row>
    <row r="104" spans="1:23" s="45" customFormat="1" ht="11.45" customHeight="1">
      <c r="A104" s="143"/>
      <c r="B104" s="143" t="s">
        <v>71</v>
      </c>
      <c r="C104" s="143"/>
      <c r="D104" s="143"/>
      <c r="E104" s="142"/>
      <c r="F104" s="159">
        <v>1.8069999999999999</v>
      </c>
      <c r="G104" s="158"/>
      <c r="H104" s="159">
        <v>5</v>
      </c>
      <c r="I104" s="142"/>
      <c r="J104" s="159">
        <f>8.8+F104</f>
        <v>10.607000000000001</v>
      </c>
      <c r="K104" s="158"/>
      <c r="L104" s="159">
        <v>14.7</v>
      </c>
      <c r="M104" s="142"/>
      <c r="N104" s="159">
        <v>19.600000000000001</v>
      </c>
      <c r="O104" s="158"/>
      <c r="P104" s="158"/>
      <c r="Q104" s="264"/>
      <c r="R104" s="158"/>
      <c r="S104" s="471"/>
      <c r="T104" s="135"/>
    </row>
    <row r="105" spans="1:23" s="45" customFormat="1" ht="11.45" customHeight="1">
      <c r="A105" s="143"/>
      <c r="B105" s="144" t="s">
        <v>70</v>
      </c>
      <c r="C105" s="144"/>
      <c r="D105" s="144"/>
      <c r="E105" s="142"/>
      <c r="F105" s="159">
        <v>1.641</v>
      </c>
      <c r="G105" s="158"/>
      <c r="H105" s="159">
        <v>2.6</v>
      </c>
      <c r="I105" s="142"/>
      <c r="J105" s="159">
        <f>4.6+F105</f>
        <v>6.2409999999999997</v>
      </c>
      <c r="K105" s="159"/>
      <c r="L105" s="159">
        <v>6.3</v>
      </c>
      <c r="M105" s="142"/>
      <c r="N105" s="159">
        <f>9.1</f>
        <v>9.1</v>
      </c>
      <c r="O105" s="158"/>
      <c r="P105" s="158"/>
      <c r="Q105" s="159"/>
      <c r="R105" s="158"/>
      <c r="S105" s="471"/>
      <c r="T105" s="135"/>
    </row>
    <row r="106" spans="1:23" s="299" customFormat="1" ht="11.45" customHeight="1">
      <c r="A106" s="145"/>
      <c r="B106" s="439" t="s">
        <v>45</v>
      </c>
      <c r="C106" s="439"/>
      <c r="D106" s="439"/>
      <c r="E106" s="141"/>
      <c r="F106" s="160">
        <f>SUM(F103:F105)</f>
        <v>-13.925999999999998</v>
      </c>
      <c r="G106" s="156"/>
      <c r="H106" s="160">
        <f>SUM(H103:H105)</f>
        <v>-6.9</v>
      </c>
      <c r="I106" s="141"/>
      <c r="J106" s="160">
        <f>SUM(J103:J105)</f>
        <v>-31.725999999999999</v>
      </c>
      <c r="K106" s="159"/>
      <c r="L106" s="160">
        <f>SUM(L103:L105)</f>
        <v>-22.200000000000003</v>
      </c>
      <c r="M106" s="141"/>
      <c r="N106" s="160">
        <f>SUM(N103:N105)</f>
        <v>-29.5</v>
      </c>
      <c r="O106" s="156"/>
      <c r="P106" s="157"/>
      <c r="Q106" s="157"/>
      <c r="R106" s="157"/>
      <c r="S106" s="94"/>
      <c r="T106" s="472"/>
    </row>
    <row r="107" spans="1:23" s="45" customFormat="1" ht="11.45" customHeight="1">
      <c r="A107" s="443"/>
      <c r="B107" s="143"/>
      <c r="C107" s="143"/>
      <c r="D107" s="143"/>
      <c r="E107" s="143"/>
      <c r="F107" s="284"/>
      <c r="G107" s="238"/>
      <c r="H107" s="238"/>
      <c r="I107" s="143"/>
      <c r="J107" s="143"/>
      <c r="K107" s="143"/>
      <c r="L107" s="143"/>
      <c r="M107" s="143"/>
      <c r="N107" s="238"/>
      <c r="O107" s="238"/>
      <c r="P107" s="238"/>
      <c r="Q107" s="244"/>
      <c r="R107" s="244"/>
      <c r="S107" s="57"/>
      <c r="T107" s="135"/>
    </row>
    <row r="108" spans="1:23" s="45" customFormat="1" ht="11.45" customHeight="1">
      <c r="A108" s="142"/>
      <c r="B108" s="142"/>
      <c r="C108" s="142"/>
      <c r="D108" s="142"/>
      <c r="E108" s="143"/>
      <c r="F108" s="240"/>
      <c r="G108" s="238"/>
      <c r="H108" s="239"/>
      <c r="I108" s="143"/>
      <c r="J108" s="143"/>
      <c r="K108" s="143"/>
      <c r="L108" s="143"/>
      <c r="M108" s="143"/>
      <c r="N108" s="239"/>
      <c r="O108" s="238"/>
      <c r="P108" s="239"/>
      <c r="Q108" s="239"/>
      <c r="R108" s="239"/>
      <c r="S108" s="55"/>
      <c r="T108" s="135"/>
    </row>
    <row r="109" spans="1:23" s="45" customFormat="1" ht="15" customHeight="1">
      <c r="A109" s="436" t="s">
        <v>210</v>
      </c>
      <c r="B109" s="435"/>
      <c r="C109" s="435"/>
      <c r="D109" s="435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458"/>
      <c r="R109" s="459"/>
      <c r="S109" s="460"/>
      <c r="T109" s="460"/>
      <c r="U109" s="84"/>
      <c r="V109" s="84"/>
      <c r="W109" s="83"/>
    </row>
    <row r="110" spans="1:23" s="45" customFormat="1" ht="11.45" customHeight="1">
      <c r="A110" s="242"/>
      <c r="B110" s="143"/>
      <c r="C110" s="143"/>
      <c r="D110" s="143"/>
      <c r="E110" s="143"/>
      <c r="F110" s="252"/>
      <c r="G110" s="238"/>
      <c r="H110" s="238"/>
      <c r="I110" s="143"/>
      <c r="J110" s="143"/>
      <c r="K110" s="143"/>
      <c r="L110" s="143"/>
      <c r="M110" s="143"/>
      <c r="N110" s="238"/>
      <c r="O110" s="238"/>
      <c r="P110" s="238"/>
      <c r="Q110" s="244"/>
      <c r="R110" s="244"/>
      <c r="S110" s="63"/>
      <c r="T110" s="63"/>
    </row>
    <row r="111" spans="1:23" s="45" customFormat="1" ht="11.45" customHeight="1" thickBot="1">
      <c r="A111" s="224" t="s">
        <v>114</v>
      </c>
      <c r="B111" s="224"/>
      <c r="C111" s="224"/>
      <c r="D111" s="224"/>
      <c r="E111" s="224"/>
      <c r="F111" s="255"/>
      <c r="G111" s="255"/>
      <c r="H111" s="255"/>
      <c r="I111" s="224"/>
      <c r="J111" s="224"/>
      <c r="K111" s="224"/>
      <c r="L111" s="224"/>
      <c r="M111" s="224"/>
      <c r="N111" s="255"/>
      <c r="O111" s="255"/>
      <c r="P111" s="255"/>
      <c r="Q111" s="244"/>
      <c r="R111" s="244"/>
      <c r="S111" s="63"/>
      <c r="T111" s="57"/>
      <c r="U111" s="58"/>
      <c r="V111" s="58"/>
    </row>
    <row r="112" spans="1:23" s="80" customFormat="1" ht="11.45" customHeight="1">
      <c r="A112" s="225"/>
      <c r="B112" s="225"/>
      <c r="C112" s="225"/>
      <c r="D112" s="225"/>
      <c r="E112" s="225"/>
      <c r="F112" s="557" t="s">
        <v>6</v>
      </c>
      <c r="G112" s="557"/>
      <c r="H112" s="557"/>
      <c r="I112" s="225"/>
      <c r="J112" s="562" t="s">
        <v>233</v>
      </c>
      <c r="K112" s="562"/>
      <c r="L112" s="562"/>
      <c r="M112" s="225"/>
      <c r="N112" s="437" t="s">
        <v>21</v>
      </c>
      <c r="O112" s="499"/>
      <c r="P112" s="437"/>
      <c r="Q112" s="445"/>
      <c r="R112" s="225"/>
    </row>
    <row r="113" spans="1:23" s="80" customFormat="1" ht="11.45" customHeight="1">
      <c r="A113" s="225"/>
      <c r="B113" s="225"/>
      <c r="C113" s="225"/>
      <c r="D113" s="225"/>
      <c r="E113" s="225"/>
      <c r="F113" s="558" t="s">
        <v>232</v>
      </c>
      <c r="G113" s="558"/>
      <c r="H113" s="558"/>
      <c r="I113" s="225"/>
      <c r="J113" s="556" t="s">
        <v>232</v>
      </c>
      <c r="K113" s="556"/>
      <c r="L113" s="556"/>
      <c r="M113" s="225"/>
      <c r="N113" s="500" t="s">
        <v>1</v>
      </c>
      <c r="O113" s="500"/>
      <c r="P113" s="437"/>
      <c r="Q113" s="445"/>
      <c r="R113" s="225"/>
    </row>
    <row r="114" spans="1:23" s="45" customFormat="1" ht="11.45" customHeight="1">
      <c r="A114" s="146" t="s">
        <v>106</v>
      </c>
      <c r="B114" s="144"/>
      <c r="C114" s="144"/>
      <c r="D114" s="144"/>
      <c r="E114" s="142"/>
      <c r="F114" s="292">
        <v>2016</v>
      </c>
      <c r="G114" s="229"/>
      <c r="H114" s="230">
        <v>2015</v>
      </c>
      <c r="I114" s="142"/>
      <c r="J114" s="407">
        <v>2016</v>
      </c>
      <c r="K114" s="225"/>
      <c r="L114" s="407">
        <v>2015</v>
      </c>
      <c r="M114" s="142"/>
      <c r="N114" s="230">
        <v>2015</v>
      </c>
      <c r="O114" s="229"/>
      <c r="P114" s="450"/>
      <c r="Q114" s="245"/>
      <c r="R114" s="143"/>
      <c r="S114" s="63"/>
      <c r="T114" s="63"/>
    </row>
    <row r="115" spans="1:23" s="45" customFormat="1" ht="11.45" customHeight="1">
      <c r="A115" s="256"/>
      <c r="B115" s="142"/>
      <c r="C115" s="142"/>
      <c r="D115" s="142"/>
      <c r="E115" s="142"/>
      <c r="F115" s="169" t="s">
        <v>0</v>
      </c>
      <c r="G115" s="169"/>
      <c r="H115" s="169"/>
      <c r="I115" s="142"/>
      <c r="J115" s="142"/>
      <c r="K115" s="142"/>
      <c r="L115" s="142"/>
      <c r="M115" s="142"/>
      <c r="N115" s="169"/>
      <c r="O115" s="169"/>
      <c r="P115" s="169"/>
      <c r="Q115" s="245"/>
      <c r="R115" s="143"/>
      <c r="S115" s="63"/>
      <c r="T115" s="63"/>
    </row>
    <row r="116" spans="1:23" s="45" customFormat="1" ht="11.45" customHeight="1">
      <c r="A116" s="143"/>
      <c r="B116" s="143" t="s">
        <v>69</v>
      </c>
      <c r="C116" s="143"/>
      <c r="D116" s="143"/>
      <c r="E116" s="142"/>
      <c r="F116" s="159">
        <v>0.77400000000000002</v>
      </c>
      <c r="G116" s="158"/>
      <c r="H116" s="159">
        <v>0.6</v>
      </c>
      <c r="I116" s="142"/>
      <c r="J116" s="159">
        <f>1.8+F116</f>
        <v>2.5739999999999998</v>
      </c>
      <c r="K116" s="142"/>
      <c r="L116" s="159">
        <v>1.4</v>
      </c>
      <c r="M116" s="142"/>
      <c r="N116" s="159">
        <v>2.7</v>
      </c>
      <c r="O116" s="158"/>
      <c r="P116" s="158"/>
      <c r="Q116" s="246"/>
      <c r="R116" s="247"/>
      <c r="S116" s="134"/>
      <c r="T116" s="63"/>
    </row>
    <row r="117" spans="1:23" s="45" customFormat="1" ht="11.45" customHeight="1">
      <c r="A117" s="143"/>
      <c r="B117" s="529" t="s">
        <v>102</v>
      </c>
      <c r="C117" s="529"/>
      <c r="D117" s="529"/>
      <c r="E117" s="142"/>
      <c r="F117" s="159">
        <v>-0.41099999999999998</v>
      </c>
      <c r="G117" s="158"/>
      <c r="H117" s="159">
        <v>-10.7</v>
      </c>
      <c r="I117" s="142"/>
      <c r="J117" s="159">
        <f>1.4+F117</f>
        <v>0.98899999999999988</v>
      </c>
      <c r="K117" s="142"/>
      <c r="L117" s="159">
        <v>-15.1</v>
      </c>
      <c r="M117" s="142"/>
      <c r="N117" s="159">
        <v>-18.5</v>
      </c>
      <c r="O117" s="158"/>
      <c r="P117" s="158"/>
      <c r="Q117" s="246"/>
      <c r="R117" s="247"/>
      <c r="S117" s="134"/>
      <c r="T117" s="452"/>
    </row>
    <row r="118" spans="1:23" s="45" customFormat="1" ht="11.45" customHeight="1">
      <c r="A118" s="143"/>
      <c r="B118" s="143" t="s">
        <v>68</v>
      </c>
      <c r="C118" s="144"/>
      <c r="D118" s="144"/>
      <c r="E118" s="142"/>
      <c r="F118" s="159">
        <v>-1.56</v>
      </c>
      <c r="G118" s="158"/>
      <c r="H118" s="159">
        <v>-1.6</v>
      </c>
      <c r="I118" s="142"/>
      <c r="J118" s="159">
        <f>-2.5+F118</f>
        <v>-4.0600000000000005</v>
      </c>
      <c r="K118" s="142"/>
      <c r="L118" s="159">
        <v>-5.8</v>
      </c>
      <c r="M118" s="142"/>
      <c r="N118" s="159">
        <v>-13.7</v>
      </c>
      <c r="O118" s="158"/>
      <c r="P118" s="158"/>
      <c r="Q118" s="244"/>
      <c r="R118" s="247"/>
      <c r="S118" s="134"/>
      <c r="T118" s="135"/>
    </row>
    <row r="119" spans="1:23" s="299" customFormat="1" ht="11.45" customHeight="1">
      <c r="A119" s="145"/>
      <c r="B119" s="145" t="s">
        <v>45</v>
      </c>
      <c r="C119" s="439"/>
      <c r="D119" s="439"/>
      <c r="E119" s="141"/>
      <c r="F119" s="160">
        <f>SUM(F116:F118)</f>
        <v>-1.1970000000000001</v>
      </c>
      <c r="G119" s="156"/>
      <c r="H119" s="160">
        <f>SUM(H116:H118)</f>
        <v>-11.7</v>
      </c>
      <c r="I119" s="141"/>
      <c r="J119" s="411">
        <f>SUM(J116:J118)</f>
        <v>-0.49700000000000077</v>
      </c>
      <c r="K119" s="141"/>
      <c r="L119" s="411">
        <f>SUM(L116:L118)</f>
        <v>-19.5</v>
      </c>
      <c r="M119" s="141"/>
      <c r="N119" s="160">
        <f>SUM(N116:N118)-0.1</f>
        <v>-29.6</v>
      </c>
      <c r="O119" s="156"/>
      <c r="P119" s="157"/>
      <c r="Q119" s="258"/>
      <c r="R119" s="251"/>
      <c r="S119" s="300"/>
      <c r="T119" s="446"/>
    </row>
    <row r="120" spans="1:23" s="63" customFormat="1" ht="11.45" customHeight="1">
      <c r="A120" s="443"/>
      <c r="B120" s="143"/>
      <c r="C120" s="143"/>
      <c r="D120" s="143"/>
      <c r="E120" s="143"/>
      <c r="F120" s="284"/>
      <c r="G120" s="238"/>
      <c r="H120" s="238"/>
      <c r="I120" s="143"/>
      <c r="J120" s="143"/>
      <c r="K120" s="143"/>
      <c r="L120" s="143"/>
      <c r="M120" s="143"/>
      <c r="N120" s="238"/>
      <c r="O120" s="238"/>
      <c r="P120" s="238"/>
      <c r="Q120" s="244"/>
      <c r="R120" s="244"/>
      <c r="S120" s="56"/>
      <c r="T120" s="56"/>
      <c r="U120" s="56"/>
      <c r="V120" s="56"/>
      <c r="W120" s="57"/>
    </row>
    <row r="121" spans="1:23" s="45" customFormat="1" ht="11.45" customHeight="1">
      <c r="A121" s="443"/>
      <c r="B121" s="143"/>
      <c r="C121" s="143"/>
      <c r="D121" s="143"/>
      <c r="E121" s="143"/>
      <c r="F121" s="284"/>
      <c r="G121" s="238"/>
      <c r="H121" s="238"/>
      <c r="I121" s="143"/>
      <c r="J121" s="143"/>
      <c r="K121" s="143"/>
      <c r="L121" s="143"/>
      <c r="M121" s="143"/>
      <c r="N121" s="238"/>
      <c r="O121" s="238"/>
      <c r="P121" s="238"/>
      <c r="Q121" s="244"/>
      <c r="R121" s="244"/>
      <c r="S121" s="56"/>
      <c r="T121" s="55"/>
      <c r="U121" s="55"/>
    </row>
    <row r="122" spans="1:23" s="45" customFormat="1" ht="15" customHeight="1">
      <c r="A122" s="436" t="s">
        <v>211</v>
      </c>
      <c r="B122" s="435"/>
      <c r="C122" s="435"/>
      <c r="D122" s="435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458"/>
      <c r="R122" s="459"/>
      <c r="S122" s="460"/>
      <c r="T122" s="460"/>
      <c r="U122" s="84"/>
      <c r="V122" s="84"/>
      <c r="W122" s="83"/>
    </row>
    <row r="123" spans="1:23" s="45" customFormat="1" ht="11.45" customHeight="1">
      <c r="A123" s="242"/>
      <c r="B123" s="143"/>
      <c r="C123" s="143"/>
      <c r="D123" s="143"/>
      <c r="E123" s="143"/>
      <c r="F123" s="252"/>
      <c r="G123" s="238"/>
      <c r="H123" s="238"/>
      <c r="I123" s="143"/>
      <c r="J123" s="143"/>
      <c r="K123" s="143"/>
      <c r="L123" s="143"/>
      <c r="M123" s="143"/>
      <c r="N123" s="238"/>
      <c r="O123" s="238"/>
      <c r="P123" s="238"/>
      <c r="Q123" s="244"/>
      <c r="R123" s="244"/>
      <c r="S123" s="63"/>
      <c r="T123" s="57"/>
      <c r="U123" s="57"/>
    </row>
    <row r="124" spans="1:23" s="45" customFormat="1" ht="11.45" customHeight="1" thickBot="1">
      <c r="A124" s="224" t="s">
        <v>220</v>
      </c>
      <c r="B124" s="224"/>
      <c r="C124" s="224"/>
      <c r="D124" s="224"/>
      <c r="E124" s="224"/>
      <c r="F124" s="255"/>
      <c r="G124" s="255"/>
      <c r="H124" s="255"/>
      <c r="I124" s="224"/>
      <c r="J124" s="224"/>
      <c r="K124" s="224"/>
      <c r="L124" s="224"/>
      <c r="M124" s="224"/>
      <c r="N124" s="255"/>
      <c r="O124" s="255"/>
      <c r="P124" s="255"/>
      <c r="Q124" s="244"/>
      <c r="R124" s="244"/>
      <c r="S124" s="63"/>
      <c r="T124" s="53"/>
    </row>
    <row r="125" spans="1:23" s="80" customFormat="1" ht="11.45" customHeight="1">
      <c r="A125" s="225"/>
      <c r="B125" s="225"/>
      <c r="C125" s="225"/>
      <c r="D125" s="225"/>
      <c r="E125" s="225"/>
      <c r="F125" s="557" t="s">
        <v>6</v>
      </c>
      <c r="G125" s="557"/>
      <c r="H125" s="557"/>
      <c r="I125" s="225"/>
      <c r="J125" s="562" t="s">
        <v>233</v>
      </c>
      <c r="K125" s="562"/>
      <c r="L125" s="562"/>
      <c r="M125" s="225"/>
      <c r="N125" s="437" t="s">
        <v>21</v>
      </c>
      <c r="O125" s="499"/>
      <c r="P125" s="437"/>
      <c r="Q125" s="445"/>
      <c r="R125" s="225"/>
    </row>
    <row r="126" spans="1:23" s="80" customFormat="1" ht="11.45" customHeight="1">
      <c r="A126" s="225"/>
      <c r="B126" s="225"/>
      <c r="C126" s="225"/>
      <c r="D126" s="225"/>
      <c r="E126" s="225"/>
      <c r="F126" s="558" t="s">
        <v>232</v>
      </c>
      <c r="G126" s="558"/>
      <c r="H126" s="558"/>
      <c r="I126" s="225"/>
      <c r="J126" s="556" t="s">
        <v>232</v>
      </c>
      <c r="K126" s="556"/>
      <c r="L126" s="556"/>
      <c r="M126" s="225"/>
      <c r="N126" s="500" t="s">
        <v>1</v>
      </c>
      <c r="O126" s="500"/>
      <c r="P126" s="437"/>
      <c r="Q126" s="445"/>
      <c r="R126" s="225"/>
    </row>
    <row r="127" spans="1:23" s="45" customFormat="1" ht="11.45" customHeight="1">
      <c r="A127" s="146" t="s">
        <v>106</v>
      </c>
      <c r="B127" s="144"/>
      <c r="C127" s="144"/>
      <c r="D127" s="144"/>
      <c r="E127" s="142"/>
      <c r="F127" s="292">
        <v>2016</v>
      </c>
      <c r="G127" s="229"/>
      <c r="H127" s="230">
        <v>2015</v>
      </c>
      <c r="I127" s="142"/>
      <c r="J127" s="407">
        <v>2016</v>
      </c>
      <c r="K127" s="225"/>
      <c r="L127" s="407">
        <v>2015</v>
      </c>
      <c r="M127" s="142"/>
      <c r="N127" s="230">
        <v>2015</v>
      </c>
      <c r="O127" s="229"/>
      <c r="P127" s="450"/>
      <c r="Q127" s="245"/>
      <c r="R127" s="143"/>
      <c r="S127" s="63"/>
      <c r="T127" s="57"/>
    </row>
    <row r="128" spans="1:23" s="45" customFormat="1" ht="11.45" customHeight="1">
      <c r="A128" s="256"/>
      <c r="B128" s="142"/>
      <c r="C128" s="142"/>
      <c r="D128" s="142"/>
      <c r="E128" s="142"/>
      <c r="F128" s="169" t="s">
        <v>0</v>
      </c>
      <c r="G128" s="169"/>
      <c r="H128" s="169"/>
      <c r="I128" s="142"/>
      <c r="J128" s="142"/>
      <c r="K128" s="142"/>
      <c r="L128" s="142"/>
      <c r="M128" s="142"/>
      <c r="N128" s="169"/>
      <c r="O128" s="169"/>
      <c r="P128" s="169"/>
      <c r="Q128" s="245"/>
      <c r="R128" s="143"/>
      <c r="S128" s="63"/>
      <c r="T128" s="57"/>
    </row>
    <row r="129" spans="1:23" s="45" customFormat="1" ht="11.45" customHeight="1">
      <c r="A129" s="143"/>
      <c r="B129" s="143" t="s">
        <v>136</v>
      </c>
      <c r="C129" s="143"/>
      <c r="D129" s="143"/>
      <c r="E129" s="142"/>
      <c r="F129" s="159">
        <v>0.71729615000000002</v>
      </c>
      <c r="G129" s="158"/>
      <c r="H129" s="159">
        <v>5.4</v>
      </c>
      <c r="I129" s="142"/>
      <c r="J129" s="159">
        <f>5.1+F129+0.1</f>
        <v>5.9172961499999994</v>
      </c>
      <c r="K129" s="142"/>
      <c r="L129" s="142">
        <v>19.7</v>
      </c>
      <c r="M129" s="142"/>
      <c r="N129" s="159">
        <v>19.600000000000001</v>
      </c>
      <c r="O129" s="158"/>
      <c r="P129" s="158"/>
      <c r="Q129" s="415"/>
      <c r="R129" s="247"/>
      <c r="S129" s="134"/>
      <c r="T129" s="57"/>
    </row>
    <row r="130" spans="1:23" s="45" customFormat="1" ht="11.45" customHeight="1">
      <c r="A130" s="143"/>
      <c r="B130" s="201" t="s">
        <v>231</v>
      </c>
      <c r="C130" s="201"/>
      <c r="D130" s="201"/>
      <c r="E130" s="142"/>
      <c r="F130" s="159">
        <v>4.1087570900000001</v>
      </c>
      <c r="G130" s="158"/>
      <c r="H130" s="159">
        <v>24.1</v>
      </c>
      <c r="I130" s="142"/>
      <c r="J130" s="159">
        <f>-16.1+F130-0.1</f>
        <v>-12.09124291</v>
      </c>
      <c r="K130" s="142"/>
      <c r="L130" s="142">
        <v>25.2</v>
      </c>
      <c r="M130" s="142"/>
      <c r="N130" s="159">
        <v>2.8</v>
      </c>
      <c r="O130" s="158"/>
      <c r="P130" s="158"/>
      <c r="Q130" s="142"/>
      <c r="R130" s="248"/>
      <c r="S130" s="134"/>
      <c r="T130" s="56"/>
    </row>
    <row r="131" spans="1:23" s="299" customFormat="1" ht="11.45" customHeight="1">
      <c r="A131" s="145"/>
      <c r="B131" s="439" t="s">
        <v>45</v>
      </c>
      <c r="C131" s="439"/>
      <c r="D131" s="439"/>
      <c r="E131" s="141"/>
      <c r="F131" s="160">
        <f>SUM(F129:F130)</f>
        <v>4.8260532400000002</v>
      </c>
      <c r="G131" s="156"/>
      <c r="H131" s="160">
        <f>SUM(H129:H130)</f>
        <v>29.5</v>
      </c>
      <c r="I131" s="141"/>
      <c r="J131" s="411">
        <f>SUM(J129:J130)</f>
        <v>-6.1739467600000006</v>
      </c>
      <c r="K131" s="141"/>
      <c r="L131" s="145">
        <f>SUM(L129:L130)</f>
        <v>44.9</v>
      </c>
      <c r="M131" s="141"/>
      <c r="N131" s="160">
        <f>SUM(N129:N130)</f>
        <v>22.400000000000002</v>
      </c>
      <c r="O131" s="156"/>
      <c r="P131" s="157"/>
      <c r="Q131" s="258"/>
      <c r="R131" s="251"/>
      <c r="S131" s="300"/>
      <c r="T131" s="74"/>
    </row>
    <row r="132" spans="1:23" s="45" customFormat="1" ht="11.45" customHeight="1">
      <c r="A132" s="443"/>
      <c r="B132" s="143"/>
      <c r="C132" s="143"/>
      <c r="D132" s="143"/>
      <c r="E132" s="143"/>
      <c r="F132" s="284"/>
      <c r="G132" s="238"/>
      <c r="H132" s="238"/>
      <c r="I132" s="143"/>
      <c r="J132" s="143"/>
      <c r="K132" s="143"/>
      <c r="L132" s="143"/>
      <c r="M132" s="143"/>
      <c r="N132" s="238"/>
      <c r="O132" s="238"/>
      <c r="P132" s="238"/>
      <c r="Q132" s="244"/>
      <c r="R132" s="244"/>
      <c r="S132" s="56"/>
      <c r="T132" s="55"/>
      <c r="U132" s="55"/>
    </row>
    <row r="133" spans="1:23" s="45" customFormat="1" ht="11.45" customHeight="1">
      <c r="A133" s="142"/>
      <c r="B133" s="142"/>
      <c r="C133" s="142"/>
      <c r="D133" s="142"/>
      <c r="E133" s="143"/>
      <c r="F133" s="240"/>
      <c r="G133" s="238"/>
      <c r="H133" s="239"/>
      <c r="I133" s="143"/>
      <c r="J133" s="143"/>
      <c r="K133" s="143"/>
      <c r="L133" s="143"/>
      <c r="M133" s="143"/>
      <c r="N133" s="239"/>
      <c r="O133" s="238"/>
      <c r="P133" s="239"/>
      <c r="Q133" s="239"/>
      <c r="R133" s="143"/>
      <c r="S133" s="108"/>
      <c r="T133" s="57"/>
    </row>
    <row r="134" spans="1:23" s="45" customFormat="1" ht="15" customHeight="1">
      <c r="A134" s="436" t="s">
        <v>212</v>
      </c>
      <c r="B134" s="435"/>
      <c r="C134" s="435"/>
      <c r="D134" s="435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458"/>
      <c r="R134" s="459"/>
      <c r="S134" s="460"/>
      <c r="T134" s="460"/>
      <c r="U134" s="84"/>
      <c r="V134" s="84"/>
      <c r="W134" s="83"/>
    </row>
    <row r="135" spans="1:23" s="45" customFormat="1" ht="11.45" customHeight="1">
      <c r="A135" s="242"/>
      <c r="B135" s="143"/>
      <c r="C135" s="143"/>
      <c r="D135" s="143"/>
      <c r="E135" s="143"/>
      <c r="F135" s="252"/>
      <c r="G135" s="238"/>
      <c r="H135" s="238"/>
      <c r="I135" s="143"/>
      <c r="J135" s="143"/>
      <c r="K135" s="143"/>
      <c r="L135" s="143"/>
      <c r="M135" s="143"/>
      <c r="N135" s="238"/>
      <c r="O135" s="238"/>
      <c r="P135" s="238"/>
      <c r="Q135" s="244"/>
      <c r="R135" s="244"/>
      <c r="S135" s="63"/>
      <c r="T135" s="57"/>
    </row>
    <row r="136" spans="1:23" s="45" customFormat="1" ht="11.45" customHeight="1" thickBot="1">
      <c r="A136" s="224" t="s">
        <v>246</v>
      </c>
      <c r="B136" s="224"/>
      <c r="C136" s="224"/>
      <c r="D136" s="224"/>
      <c r="E136" s="224"/>
      <c r="F136" s="255"/>
      <c r="G136" s="255"/>
      <c r="H136" s="255"/>
      <c r="I136" s="224"/>
      <c r="J136" s="224"/>
      <c r="K136" s="224"/>
      <c r="L136" s="224"/>
      <c r="M136" s="224"/>
      <c r="N136" s="255"/>
      <c r="O136" s="255"/>
      <c r="P136" s="255"/>
      <c r="Q136" s="244"/>
      <c r="R136" s="244"/>
      <c r="S136" s="108"/>
      <c r="T136" s="57"/>
    </row>
    <row r="137" spans="1:23" s="80" customFormat="1" ht="11.45" customHeight="1">
      <c r="A137" s="225"/>
      <c r="B137" s="225"/>
      <c r="C137" s="225"/>
      <c r="D137" s="225"/>
      <c r="E137" s="225"/>
      <c r="F137" s="557" t="s">
        <v>6</v>
      </c>
      <c r="G137" s="557"/>
      <c r="H137" s="557"/>
      <c r="I137" s="225"/>
      <c r="J137" s="562" t="s">
        <v>233</v>
      </c>
      <c r="K137" s="562"/>
      <c r="L137" s="562"/>
      <c r="M137" s="225"/>
      <c r="N137" s="437" t="s">
        <v>21</v>
      </c>
      <c r="O137" s="499"/>
      <c r="P137" s="437"/>
      <c r="Q137" s="445"/>
      <c r="R137" s="225"/>
    </row>
    <row r="138" spans="1:23" s="80" customFormat="1" ht="11.45" customHeight="1">
      <c r="A138" s="225"/>
      <c r="B138" s="225"/>
      <c r="C138" s="225"/>
      <c r="D138" s="225"/>
      <c r="E138" s="225"/>
      <c r="F138" s="558" t="s">
        <v>232</v>
      </c>
      <c r="G138" s="558"/>
      <c r="H138" s="558"/>
      <c r="I138" s="225"/>
      <c r="J138" s="556" t="s">
        <v>232</v>
      </c>
      <c r="K138" s="556"/>
      <c r="L138" s="556"/>
      <c r="M138" s="225"/>
      <c r="N138" s="500" t="s">
        <v>1</v>
      </c>
      <c r="O138" s="500"/>
      <c r="P138" s="437"/>
      <c r="Q138" s="445"/>
      <c r="R138" s="225"/>
    </row>
    <row r="139" spans="1:23" s="45" customFormat="1" ht="11.45" customHeight="1">
      <c r="A139" s="146" t="s">
        <v>106</v>
      </c>
      <c r="B139" s="144"/>
      <c r="C139" s="144"/>
      <c r="D139" s="144"/>
      <c r="E139" s="143"/>
      <c r="F139" s="292">
        <v>2016</v>
      </c>
      <c r="G139" s="229"/>
      <c r="H139" s="230">
        <v>2015</v>
      </c>
      <c r="I139" s="143"/>
      <c r="J139" s="407">
        <v>2016</v>
      </c>
      <c r="K139" s="225"/>
      <c r="L139" s="407">
        <v>2015</v>
      </c>
      <c r="M139" s="143"/>
      <c r="N139" s="230">
        <v>2015</v>
      </c>
      <c r="O139" s="229"/>
      <c r="P139" s="450"/>
      <c r="Q139" s="143"/>
      <c r="R139" s="143"/>
      <c r="S139" s="94"/>
      <c r="T139" s="63"/>
    </row>
    <row r="140" spans="1:23" s="45" customFormat="1" ht="11.45" customHeight="1">
      <c r="A140" s="256"/>
      <c r="B140" s="142"/>
      <c r="C140" s="142"/>
      <c r="D140" s="142"/>
      <c r="E140" s="143"/>
      <c r="F140" s="169"/>
      <c r="G140" s="169"/>
      <c r="H140" s="169"/>
      <c r="I140" s="143"/>
      <c r="J140" s="143"/>
      <c r="K140" s="143"/>
      <c r="L140" s="143"/>
      <c r="M140" s="143"/>
      <c r="N140" s="169"/>
      <c r="O140" s="169"/>
      <c r="P140" s="169"/>
      <c r="Q140" s="143"/>
      <c r="R140" s="143"/>
      <c r="S140" s="469"/>
      <c r="T140" s="63"/>
    </row>
    <row r="141" spans="1:23" s="45" customFormat="1" ht="11.45" customHeight="1">
      <c r="A141" s="143"/>
      <c r="B141" s="143" t="s">
        <v>137</v>
      </c>
      <c r="C141" s="143"/>
      <c r="D141" s="143"/>
      <c r="E141" s="143"/>
      <c r="F141" s="159">
        <v>2.2000000000000002</v>
      </c>
      <c r="G141" s="158"/>
      <c r="H141" s="159">
        <v>9.1</v>
      </c>
      <c r="I141" s="143"/>
      <c r="J141" s="159">
        <f>3.4+F141</f>
        <v>5.6</v>
      </c>
      <c r="K141" s="143"/>
      <c r="L141" s="159">
        <v>11</v>
      </c>
      <c r="M141" s="143"/>
      <c r="N141" s="159">
        <v>17.600000000000001</v>
      </c>
      <c r="O141" s="158"/>
      <c r="P141" s="158"/>
      <c r="Q141" s="246"/>
      <c r="R141" s="246"/>
      <c r="S141" s="452"/>
      <c r="T141" s="63"/>
    </row>
    <row r="142" spans="1:23" s="45" customFormat="1" ht="11.45" customHeight="1">
      <c r="A142" s="143"/>
      <c r="B142" s="529" t="s">
        <v>138</v>
      </c>
      <c r="C142" s="529"/>
      <c r="D142" s="529"/>
      <c r="E142" s="143"/>
      <c r="F142" s="159">
        <v>0.4</v>
      </c>
      <c r="G142" s="158"/>
      <c r="H142" s="159">
        <v>0.7</v>
      </c>
      <c r="I142" s="143"/>
      <c r="J142" s="159">
        <f>14+F142</f>
        <v>14.4</v>
      </c>
      <c r="K142" s="143"/>
      <c r="L142" s="143">
        <v>10.9</v>
      </c>
      <c r="M142" s="143"/>
      <c r="N142" s="159">
        <v>10.9</v>
      </c>
      <c r="O142" s="158"/>
      <c r="P142" s="158"/>
      <c r="Q142" s="473"/>
      <c r="R142" s="249"/>
      <c r="S142" s="452"/>
      <c r="T142" s="63"/>
    </row>
    <row r="143" spans="1:23" s="45" customFormat="1" ht="11.45" customHeight="1">
      <c r="A143" s="143"/>
      <c r="B143" s="529" t="s">
        <v>139</v>
      </c>
      <c r="C143" s="529"/>
      <c r="D143" s="529"/>
      <c r="E143" s="143"/>
      <c r="F143" s="159">
        <v>8.9589999999999996</v>
      </c>
      <c r="G143" s="158"/>
      <c r="H143" s="159">
        <v>1.4</v>
      </c>
      <c r="I143" s="143"/>
      <c r="J143" s="159">
        <f>2.2+F143</f>
        <v>11.158999999999999</v>
      </c>
      <c r="K143" s="143"/>
      <c r="L143" s="158">
        <v>4.4000000000000004</v>
      </c>
      <c r="M143" s="143"/>
      <c r="N143" s="159">
        <v>5.3</v>
      </c>
      <c r="O143" s="158"/>
      <c r="P143" s="158"/>
      <c r="Q143" s="249"/>
      <c r="R143" s="249"/>
      <c r="S143" s="452"/>
      <c r="T143" s="63"/>
    </row>
    <row r="144" spans="1:23" s="45" customFormat="1" ht="11.45" customHeight="1">
      <c r="A144" s="143"/>
      <c r="B144" s="529" t="s">
        <v>140</v>
      </c>
      <c r="C144" s="529"/>
      <c r="D144" s="529"/>
      <c r="E144" s="143"/>
      <c r="F144" s="159">
        <v>6.76</v>
      </c>
      <c r="G144" s="158"/>
      <c r="H144" s="159">
        <v>4.9000000000000004</v>
      </c>
      <c r="I144" s="143"/>
      <c r="J144" s="159">
        <f>140.1+F144</f>
        <v>146.85999999999999</v>
      </c>
      <c r="K144" s="143"/>
      <c r="L144" s="143">
        <v>81.5</v>
      </c>
      <c r="M144" s="143"/>
      <c r="N144" s="159">
        <v>116.6</v>
      </c>
      <c r="O144" s="158"/>
      <c r="P144" s="158"/>
      <c r="Q144" s="249"/>
      <c r="R144" s="249"/>
      <c r="S144" s="452"/>
      <c r="T144" s="63"/>
    </row>
    <row r="145" spans="1:23" s="45" customFormat="1" ht="11.45" customHeight="1">
      <c r="A145" s="144"/>
      <c r="B145" s="201" t="s">
        <v>141</v>
      </c>
      <c r="C145" s="201"/>
      <c r="D145" s="201"/>
      <c r="E145" s="144"/>
      <c r="F145" s="202">
        <v>0.623</v>
      </c>
      <c r="G145" s="159"/>
      <c r="H145" s="202">
        <v>0.9</v>
      </c>
      <c r="I145" s="142"/>
      <c r="J145" s="202">
        <f>1.2+F145</f>
        <v>1.823</v>
      </c>
      <c r="K145" s="142"/>
      <c r="L145" s="202">
        <v>14</v>
      </c>
      <c r="M145" s="142"/>
      <c r="N145" s="202">
        <v>15.3</v>
      </c>
      <c r="O145" s="158"/>
      <c r="P145" s="158"/>
      <c r="Q145" s="249"/>
      <c r="R145" s="249"/>
      <c r="S145" s="95"/>
      <c r="T145" s="63"/>
    </row>
    <row r="146" spans="1:23" s="299" customFormat="1" ht="11.45" customHeight="1">
      <c r="A146" s="141"/>
      <c r="B146" s="141" t="s">
        <v>253</v>
      </c>
      <c r="C146" s="141"/>
      <c r="D146" s="141"/>
      <c r="E146" s="141"/>
      <c r="F146" s="157">
        <f>SUM(F141:F145)+0.1</f>
        <v>19.042000000000002</v>
      </c>
      <c r="G146" s="157"/>
      <c r="H146" s="157">
        <f>SUM(H141:H145)</f>
        <v>17</v>
      </c>
      <c r="I146" s="141"/>
      <c r="J146" s="530">
        <f>SUM(J141:J145)+0.1</f>
        <v>179.94199999999998</v>
      </c>
      <c r="K146" s="141"/>
      <c r="L146" s="141">
        <f>SUM(L141:L145)</f>
        <v>121.8</v>
      </c>
      <c r="M146" s="141"/>
      <c r="N146" s="157">
        <f>SUM(N141:N145)</f>
        <v>165.7</v>
      </c>
      <c r="O146" s="157"/>
      <c r="P146" s="157"/>
      <c r="Q146" s="298"/>
      <c r="R146" s="298"/>
      <c r="S146" s="127"/>
      <c r="T146" s="446"/>
      <c r="U146" s="62"/>
    </row>
    <row r="147" spans="1:23" s="45" customFormat="1" ht="11.45" customHeight="1">
      <c r="A147" s="143"/>
      <c r="B147" s="143" t="s">
        <v>247</v>
      </c>
      <c r="C147" s="531"/>
      <c r="D147" s="531"/>
      <c r="E147" s="143"/>
      <c r="F147" s="159">
        <v>-8.1</v>
      </c>
      <c r="G147" s="159"/>
      <c r="H147" s="159">
        <v>-3.2</v>
      </c>
      <c r="I147" s="142"/>
      <c r="J147" s="159">
        <v>12.4</v>
      </c>
      <c r="K147" s="142"/>
      <c r="L147" s="159">
        <v>-5.0999999999999996</v>
      </c>
      <c r="M147" s="142"/>
      <c r="N147" s="159">
        <v>-1.7</v>
      </c>
      <c r="O147" s="158"/>
      <c r="P147" s="157"/>
      <c r="Q147" s="244"/>
      <c r="R147" s="251"/>
      <c r="S147" s="53"/>
      <c r="T147" s="63"/>
      <c r="V147" s="43"/>
    </row>
    <row r="148" spans="1:23" s="45" customFormat="1" ht="11.45" customHeight="1">
      <c r="A148" s="441"/>
      <c r="B148" s="297" t="s">
        <v>248</v>
      </c>
      <c r="C148" s="532"/>
      <c r="D148" s="532"/>
      <c r="E148" s="441"/>
      <c r="F148" s="160">
        <f>SUM(F146:F147)</f>
        <v>10.942000000000002</v>
      </c>
      <c r="G148" s="159"/>
      <c r="H148" s="160">
        <f>SUM(H146:H147)</f>
        <v>13.8</v>
      </c>
      <c r="I148" s="142"/>
      <c r="J148" s="160">
        <f>SUM(J146:J147)</f>
        <v>192.34199999999998</v>
      </c>
      <c r="K148" s="142"/>
      <c r="L148" s="160">
        <f>SUM(L146:L147)</f>
        <v>116.7</v>
      </c>
      <c r="M148" s="142"/>
      <c r="N148" s="160">
        <f>SUM(N146:N147)</f>
        <v>164</v>
      </c>
      <c r="O148" s="158"/>
      <c r="P148" s="157"/>
      <c r="Q148" s="244"/>
      <c r="R148" s="251"/>
      <c r="S148" s="53"/>
      <c r="T148" s="63"/>
      <c r="V148" s="43"/>
    </row>
    <row r="149" spans="1:23" s="45" customFormat="1" ht="11.45" customHeight="1">
      <c r="A149" s="143"/>
      <c r="B149" s="142"/>
      <c r="C149" s="142"/>
      <c r="D149" s="142"/>
      <c r="E149" s="143"/>
      <c r="F149" s="157"/>
      <c r="G149" s="158"/>
      <c r="H149" s="157"/>
      <c r="I149" s="143"/>
      <c r="J149" s="143"/>
      <c r="K149" s="143"/>
      <c r="L149" s="143"/>
      <c r="M149" s="143"/>
      <c r="N149" s="157"/>
      <c r="O149" s="158"/>
      <c r="P149" s="157"/>
      <c r="Q149" s="244"/>
      <c r="R149" s="251"/>
      <c r="S149" s="53"/>
      <c r="T149" s="63"/>
      <c r="V149" s="43"/>
    </row>
    <row r="150" spans="1:23" s="45" customFormat="1" ht="15" customHeight="1">
      <c r="A150" s="436" t="s">
        <v>213</v>
      </c>
      <c r="B150" s="435"/>
      <c r="C150" s="435"/>
      <c r="D150" s="435"/>
      <c r="E150" s="222"/>
      <c r="F150" s="222" t="s">
        <v>0</v>
      </c>
      <c r="G150" s="222"/>
      <c r="H150" s="222" t="s">
        <v>0</v>
      </c>
      <c r="I150" s="222"/>
      <c r="J150" s="222"/>
      <c r="K150" s="222"/>
      <c r="L150" s="222"/>
      <c r="M150" s="222"/>
      <c r="N150" s="222" t="s">
        <v>0</v>
      </c>
      <c r="O150" s="222"/>
      <c r="P150" s="222"/>
      <c r="Q150" s="458"/>
      <c r="R150" s="459"/>
      <c r="S150" s="460"/>
      <c r="T150" s="460"/>
      <c r="U150" s="84"/>
      <c r="V150" s="84"/>
      <c r="W150" s="83"/>
    </row>
    <row r="151" spans="1:23" s="45" customFormat="1" ht="11.45" customHeight="1">
      <c r="A151" s="242"/>
      <c r="B151" s="143"/>
      <c r="C151" s="143"/>
      <c r="D151" s="143"/>
      <c r="E151" s="226"/>
      <c r="F151" s="252"/>
      <c r="G151" s="253"/>
      <c r="H151" s="252"/>
      <c r="I151" s="226"/>
      <c r="J151" s="226"/>
      <c r="K151" s="226"/>
      <c r="L151" s="226"/>
      <c r="M151" s="226"/>
      <c r="N151" s="252"/>
      <c r="O151" s="253"/>
      <c r="P151" s="252"/>
      <c r="Q151" s="254"/>
      <c r="R151" s="143"/>
      <c r="S151" s="80"/>
      <c r="T151" s="63"/>
      <c r="V151" s="43"/>
    </row>
    <row r="152" spans="1:23" s="45" customFormat="1" ht="13.5" thickBot="1">
      <c r="A152" s="224" t="s">
        <v>67</v>
      </c>
      <c r="B152" s="224"/>
      <c r="C152" s="224"/>
      <c r="D152" s="224"/>
      <c r="E152" s="224"/>
      <c r="F152" s="255"/>
      <c r="G152" s="255"/>
      <c r="H152" s="255"/>
      <c r="I152" s="255"/>
      <c r="J152" s="244"/>
      <c r="K152" s="244"/>
      <c r="L152" s="244"/>
      <c r="M152" s="244"/>
      <c r="N152" s="143"/>
      <c r="O152" s="244"/>
      <c r="P152" s="143"/>
      <c r="Q152" s="57"/>
      <c r="R152" s="63"/>
      <c r="S152" s="53"/>
      <c r="T152" s="63"/>
    </row>
    <row r="153" spans="1:23" s="80" customFormat="1" ht="12.75" customHeight="1">
      <c r="A153" s="225"/>
      <c r="B153" s="225"/>
      <c r="C153" s="225"/>
      <c r="D153" s="225"/>
      <c r="E153" s="225"/>
      <c r="F153" s="559" t="s">
        <v>232</v>
      </c>
      <c r="G153" s="559"/>
      <c r="H153" s="559"/>
      <c r="J153" s="501" t="s">
        <v>1</v>
      </c>
      <c r="O153" s="445"/>
      <c r="P153" s="225"/>
    </row>
    <row r="154" spans="1:23" s="45" customFormat="1">
      <c r="A154" s="146" t="s">
        <v>106</v>
      </c>
      <c r="B154" s="144"/>
      <c r="C154" s="144"/>
      <c r="D154" s="144"/>
      <c r="E154" s="143"/>
      <c r="F154" s="292">
        <v>2016</v>
      </c>
      <c r="G154" s="142"/>
      <c r="H154" s="533">
        <v>2015</v>
      </c>
      <c r="I154" s="63"/>
      <c r="J154" s="292">
        <v>2015</v>
      </c>
      <c r="K154" s="63"/>
      <c r="L154" s="63"/>
      <c r="M154" s="63"/>
      <c r="N154" s="63"/>
      <c r="O154" s="143"/>
      <c r="P154" s="143" t="s">
        <v>0</v>
      </c>
      <c r="Q154" s="63"/>
      <c r="R154" s="63"/>
      <c r="S154" s="57"/>
      <c r="T154" s="63"/>
    </row>
    <row r="155" spans="1:23" s="45" customFormat="1" ht="11.45" customHeight="1">
      <c r="A155" s="143"/>
      <c r="B155" s="143" t="s">
        <v>66</v>
      </c>
      <c r="C155" s="143"/>
      <c r="D155" s="143"/>
      <c r="E155" s="143"/>
      <c r="F155" s="158"/>
      <c r="G155" s="158"/>
      <c r="H155" s="143">
        <v>3.3</v>
      </c>
      <c r="I155" s="63"/>
      <c r="J155" s="158">
        <v>0</v>
      </c>
      <c r="K155" s="63"/>
      <c r="L155" s="63"/>
      <c r="M155" s="63"/>
      <c r="N155" s="63"/>
      <c r="O155" s="158"/>
      <c r="P155" s="158"/>
      <c r="Q155" s="244"/>
      <c r="R155" s="244"/>
      <c r="S155" s="56"/>
      <c r="T155" s="63"/>
    </row>
    <row r="156" spans="1:23" s="45" customFormat="1" ht="11.45" customHeight="1">
      <c r="A156" s="143"/>
      <c r="B156" s="143" t="s">
        <v>65</v>
      </c>
      <c r="C156" s="143"/>
      <c r="D156" s="143"/>
      <c r="E156" s="143"/>
      <c r="F156" s="158">
        <v>2.7120000000000002</v>
      </c>
      <c r="G156" s="158"/>
      <c r="H156" s="143">
        <v>14.8</v>
      </c>
      <c r="I156" s="63"/>
      <c r="J156" s="158">
        <v>10.8</v>
      </c>
      <c r="K156" s="63"/>
      <c r="L156" s="63"/>
      <c r="M156" s="63"/>
      <c r="N156" s="63"/>
      <c r="O156" s="158"/>
      <c r="P156" s="158"/>
      <c r="Q156" s="244"/>
      <c r="R156" s="244"/>
      <c r="S156" s="56"/>
      <c r="T156" s="63"/>
    </row>
    <row r="157" spans="1:23" s="45" customFormat="1" ht="11.45" customHeight="1">
      <c r="A157" s="143"/>
      <c r="B157" s="143" t="s">
        <v>91</v>
      </c>
      <c r="C157" s="143"/>
      <c r="D157" s="143"/>
      <c r="E157" s="143"/>
      <c r="F157" s="158">
        <v>11.920999999999999</v>
      </c>
      <c r="G157" s="158"/>
      <c r="H157" s="143">
        <v>25.9</v>
      </c>
      <c r="I157" s="63"/>
      <c r="J157" s="158">
        <v>19.100000000000001</v>
      </c>
      <c r="K157" s="63"/>
      <c r="L157" s="63"/>
      <c r="M157" s="63"/>
      <c r="N157" s="63"/>
      <c r="O157" s="158"/>
      <c r="P157" s="158"/>
      <c r="Q157" s="244"/>
      <c r="R157" s="244"/>
      <c r="S157" s="56"/>
      <c r="T157" s="63"/>
    </row>
    <row r="158" spans="1:23" s="45" customFormat="1" ht="11.45" customHeight="1">
      <c r="A158" s="143"/>
      <c r="B158" s="143" t="s">
        <v>105</v>
      </c>
      <c r="C158" s="143"/>
      <c r="D158" s="143"/>
      <c r="E158" s="143"/>
      <c r="F158" s="158">
        <v>19.46</v>
      </c>
      <c r="G158" s="158"/>
      <c r="H158" s="143">
        <v>33.5</v>
      </c>
      <c r="I158" s="63"/>
      <c r="J158" s="158">
        <v>25.9</v>
      </c>
      <c r="K158" s="63"/>
      <c r="L158" s="63"/>
      <c r="M158" s="63"/>
      <c r="N158" s="63"/>
      <c r="O158" s="158"/>
      <c r="P158" s="158"/>
      <c r="Q158" s="244"/>
      <c r="R158" s="244"/>
      <c r="S158" s="56"/>
      <c r="T158" s="63"/>
    </row>
    <row r="159" spans="1:23" s="45" customFormat="1" ht="11.45" customHeight="1">
      <c r="A159" s="143"/>
      <c r="B159" s="143" t="s">
        <v>202</v>
      </c>
      <c r="C159" s="143"/>
      <c r="D159" s="143"/>
      <c r="E159" s="143"/>
      <c r="F159" s="158">
        <v>68.48</v>
      </c>
      <c r="G159" s="158"/>
      <c r="H159" s="158">
        <v>103</v>
      </c>
      <c r="I159" s="63"/>
      <c r="J159" s="158">
        <v>91.5</v>
      </c>
      <c r="K159" s="63"/>
      <c r="L159" s="63"/>
      <c r="M159" s="63"/>
      <c r="N159" s="63"/>
      <c r="O159" s="204"/>
      <c r="P159" s="158"/>
      <c r="Q159" s="244"/>
      <c r="R159" s="244"/>
      <c r="S159" s="56"/>
      <c r="T159" s="63"/>
    </row>
    <row r="160" spans="1:23" s="45" customFormat="1" ht="11.45" customHeight="1">
      <c r="A160" s="142"/>
      <c r="B160" s="142" t="s">
        <v>177</v>
      </c>
      <c r="C160" s="142"/>
      <c r="D160" s="142"/>
      <c r="E160" s="143"/>
      <c r="F160" s="158">
        <v>131.35300000000001</v>
      </c>
      <c r="G160" s="158"/>
      <c r="H160" s="158">
        <v>178</v>
      </c>
      <c r="I160" s="63"/>
      <c r="J160" s="158">
        <v>175.7</v>
      </c>
      <c r="K160" s="63"/>
      <c r="L160" s="63"/>
      <c r="M160" s="63"/>
      <c r="N160" s="63"/>
      <c r="O160" s="158"/>
      <c r="P160" s="158"/>
      <c r="Q160" s="244"/>
      <c r="R160" s="244"/>
      <c r="S160" s="56"/>
      <c r="T160" s="63"/>
    </row>
    <row r="161" spans="1:22" s="45" customFormat="1" ht="11.45" customHeight="1">
      <c r="A161" s="144"/>
      <c r="B161" s="144" t="s">
        <v>207</v>
      </c>
      <c r="C161" s="144"/>
      <c r="D161" s="144"/>
      <c r="E161" s="143"/>
      <c r="F161" s="202">
        <v>224.58500000000001</v>
      </c>
      <c r="G161" s="158"/>
      <c r="H161" s="202">
        <v>0</v>
      </c>
      <c r="I161" s="63"/>
      <c r="J161" s="202">
        <v>0</v>
      </c>
      <c r="K161" s="63"/>
      <c r="L161" s="63"/>
      <c r="M161" s="63"/>
      <c r="N161" s="63"/>
      <c r="O161" s="158"/>
      <c r="P161" s="158"/>
      <c r="Q161" s="244"/>
      <c r="R161" s="244"/>
      <c r="S161" s="56"/>
      <c r="T161" s="63"/>
    </row>
    <row r="162" spans="1:22" s="45" customFormat="1" ht="11.45" customHeight="1">
      <c r="A162" s="143"/>
      <c r="B162" s="143" t="s">
        <v>64</v>
      </c>
      <c r="C162" s="143"/>
      <c r="D162" s="143"/>
      <c r="E162" s="143"/>
      <c r="F162" s="158">
        <f>SUM(F155:F161)</f>
        <v>458.51100000000002</v>
      </c>
      <c r="G162" s="158"/>
      <c r="H162" s="143">
        <f>SUM(H155:H160)</f>
        <v>358.5</v>
      </c>
      <c r="I162" s="63"/>
      <c r="J162" s="158">
        <f>SUM(J155:J160)+0.1</f>
        <v>323.10000000000002</v>
      </c>
      <c r="K162" s="63"/>
      <c r="L162" s="63"/>
      <c r="M162" s="63"/>
      <c r="N162" s="63"/>
      <c r="O162" s="158"/>
      <c r="P162" s="158"/>
      <c r="Q162" s="244"/>
      <c r="R162" s="244"/>
      <c r="S162" s="56"/>
      <c r="T162" s="63"/>
    </row>
    <row r="163" spans="1:22" s="45" customFormat="1" ht="11.45" customHeight="1">
      <c r="A163" s="143"/>
      <c r="B163" s="143" t="s">
        <v>63</v>
      </c>
      <c r="C163" s="143"/>
      <c r="D163" s="143"/>
      <c r="E163" s="143"/>
      <c r="F163" s="158">
        <v>223.58</v>
      </c>
      <c r="G163" s="158"/>
      <c r="H163" s="143">
        <v>448.6</v>
      </c>
      <c r="I163" s="63"/>
      <c r="J163" s="158">
        <v>371.9</v>
      </c>
      <c r="K163" s="63"/>
      <c r="L163" s="63"/>
      <c r="M163" s="63"/>
      <c r="N163" s="63"/>
      <c r="O163" s="158"/>
      <c r="P163" s="158"/>
      <c r="Q163" s="244"/>
      <c r="R163" s="244"/>
      <c r="S163" s="56"/>
      <c r="T163" s="63"/>
    </row>
    <row r="164" spans="1:22" s="299" customFormat="1" ht="11.45" customHeight="1">
      <c r="A164" s="145"/>
      <c r="B164" s="145" t="s">
        <v>62</v>
      </c>
      <c r="C164" s="145"/>
      <c r="D164" s="145"/>
      <c r="E164" s="298"/>
      <c r="F164" s="160">
        <f>SUM(F162:F163)</f>
        <v>682.09100000000001</v>
      </c>
      <c r="G164" s="156"/>
      <c r="H164" s="145">
        <f>SUM(H162:H163)</f>
        <v>807.1</v>
      </c>
      <c r="I164" s="446"/>
      <c r="J164" s="160">
        <f>SUM(J162:J163)</f>
        <v>695</v>
      </c>
      <c r="K164" s="446"/>
      <c r="L164" s="446"/>
      <c r="M164" s="446"/>
      <c r="N164" s="446"/>
      <c r="O164" s="156"/>
      <c r="P164" s="156"/>
      <c r="Q164" s="258"/>
      <c r="R164" s="258"/>
      <c r="S164" s="74"/>
      <c r="T164" s="446"/>
    </row>
    <row r="165" spans="1:22" s="45" customFormat="1" ht="11.45" customHeight="1">
      <c r="A165" s="142"/>
      <c r="B165" s="256" t="s">
        <v>0</v>
      </c>
      <c r="C165" s="142"/>
      <c r="D165" s="142"/>
      <c r="E165" s="143"/>
      <c r="F165" s="239"/>
      <c r="G165" s="238"/>
      <c r="H165" s="239"/>
      <c r="I165" s="143"/>
      <c r="J165" s="143"/>
      <c r="K165" s="143"/>
      <c r="L165" s="143"/>
      <c r="M165" s="143"/>
      <c r="N165" s="239"/>
      <c r="O165" s="238"/>
      <c r="P165" s="239"/>
      <c r="Q165" s="239"/>
      <c r="R165" s="237"/>
      <c r="S165" s="56"/>
      <c r="T165" s="56"/>
      <c r="U165" s="56"/>
      <c r="V165" s="56"/>
    </row>
    <row r="166" spans="1:22" s="45" customFormat="1" ht="11.45" customHeight="1">
      <c r="A166" s="143"/>
      <c r="B166" s="447"/>
      <c r="C166" s="447"/>
      <c r="D166" s="447"/>
      <c r="E166" s="143"/>
      <c r="F166" s="238"/>
      <c r="G166" s="238"/>
      <c r="H166" s="238"/>
      <c r="I166" s="143"/>
      <c r="J166" s="143"/>
      <c r="K166" s="143"/>
      <c r="L166" s="143"/>
      <c r="M166" s="143"/>
      <c r="N166" s="238"/>
      <c r="O166" s="238"/>
      <c r="P166" s="238"/>
      <c r="Q166" s="244"/>
      <c r="R166" s="238"/>
      <c r="S166" s="56"/>
      <c r="T166" s="56"/>
      <c r="U166" s="56"/>
      <c r="V166" s="56"/>
    </row>
    <row r="167" spans="1:22" s="45" customFormat="1" ht="11.45" customHeight="1" thickBot="1">
      <c r="A167" s="257" t="s">
        <v>93</v>
      </c>
      <c r="B167" s="224"/>
      <c r="C167" s="224"/>
      <c r="D167" s="224"/>
      <c r="E167" s="224"/>
      <c r="F167" s="255"/>
      <c r="G167" s="255"/>
      <c r="H167" s="255"/>
      <c r="I167" s="224"/>
      <c r="J167" s="224"/>
      <c r="K167" s="224"/>
      <c r="L167" s="224"/>
      <c r="M167" s="224"/>
      <c r="N167" s="255"/>
      <c r="O167" s="255"/>
      <c r="P167" s="255"/>
      <c r="Q167" s="244"/>
      <c r="R167" s="238"/>
      <c r="S167" s="56"/>
      <c r="T167" s="56"/>
      <c r="U167" s="56"/>
      <c r="V167" s="56"/>
    </row>
    <row r="168" spans="1:22" s="80" customFormat="1" ht="11.45" customHeight="1">
      <c r="A168" s="225"/>
      <c r="B168" s="225"/>
      <c r="C168" s="225"/>
      <c r="D168" s="225"/>
      <c r="E168" s="225"/>
      <c r="F168" s="557" t="s">
        <v>6</v>
      </c>
      <c r="G168" s="557"/>
      <c r="H168" s="557"/>
      <c r="I168" s="225"/>
      <c r="J168" s="562" t="s">
        <v>233</v>
      </c>
      <c r="K168" s="562"/>
      <c r="L168" s="562"/>
      <c r="M168" s="225"/>
      <c r="N168" s="437" t="s">
        <v>21</v>
      </c>
      <c r="O168" s="499"/>
      <c r="P168" s="437"/>
      <c r="Q168" s="445"/>
      <c r="R168" s="225"/>
    </row>
    <row r="169" spans="1:22" s="80" customFormat="1" ht="11.45" customHeight="1">
      <c r="A169" s="225"/>
      <c r="B169" s="225"/>
      <c r="C169" s="225"/>
      <c r="D169" s="225"/>
      <c r="E169" s="225"/>
      <c r="F169" s="558" t="s">
        <v>232</v>
      </c>
      <c r="G169" s="558"/>
      <c r="H169" s="558"/>
      <c r="I169" s="225"/>
      <c r="J169" s="556" t="s">
        <v>232</v>
      </c>
      <c r="K169" s="556"/>
      <c r="L169" s="556"/>
      <c r="M169" s="225"/>
      <c r="N169" s="432" t="s">
        <v>1</v>
      </c>
      <c r="O169" s="500"/>
      <c r="P169" s="437"/>
      <c r="Q169" s="445"/>
      <c r="R169" s="225"/>
    </row>
    <row r="170" spans="1:22" s="45" customFormat="1" ht="11.45" customHeight="1">
      <c r="A170" s="146" t="s">
        <v>106</v>
      </c>
      <c r="B170" s="144"/>
      <c r="C170" s="144"/>
      <c r="D170" s="144"/>
      <c r="E170" s="143"/>
      <c r="F170" s="292">
        <v>2016</v>
      </c>
      <c r="G170" s="229"/>
      <c r="H170" s="230">
        <f>+$N$29</f>
        <v>2015</v>
      </c>
      <c r="I170" s="143"/>
      <c r="J170" s="407">
        <v>2016</v>
      </c>
      <c r="K170" s="225"/>
      <c r="L170" s="407">
        <v>2015</v>
      </c>
      <c r="M170" s="143"/>
      <c r="N170" s="230">
        <f>+$N$29</f>
        <v>2015</v>
      </c>
      <c r="O170" s="229"/>
      <c r="P170" s="450"/>
      <c r="Q170" s="238"/>
      <c r="R170" s="244"/>
      <c r="S170" s="56"/>
      <c r="T170" s="56"/>
    </row>
    <row r="171" spans="1:22" s="45" customFormat="1" ht="11.45" customHeight="1">
      <c r="A171" s="141"/>
      <c r="B171" s="142"/>
      <c r="C171" s="142"/>
      <c r="D171" s="142"/>
      <c r="E171" s="143"/>
      <c r="F171" s="169" t="s">
        <v>0</v>
      </c>
      <c r="G171" s="169"/>
      <c r="H171" s="169"/>
      <c r="I171" s="143"/>
      <c r="J171" s="143"/>
      <c r="K171" s="143"/>
      <c r="L171" s="143"/>
      <c r="M171" s="143"/>
      <c r="N171" s="169"/>
      <c r="O171" s="169"/>
      <c r="P171" s="169"/>
      <c r="Q171" s="258"/>
      <c r="R171" s="244"/>
      <c r="S171" s="56"/>
      <c r="T171" s="56"/>
      <c r="U171" s="56"/>
    </row>
    <row r="172" spans="1:22" s="45" customFormat="1" ht="11.45" customHeight="1">
      <c r="A172" s="143"/>
      <c r="B172" s="143" t="s">
        <v>111</v>
      </c>
      <c r="C172" s="143"/>
      <c r="D172" s="143"/>
      <c r="E172" s="143"/>
      <c r="F172" s="158">
        <f>F32</f>
        <v>84.302000000000007</v>
      </c>
      <c r="G172" s="158"/>
      <c r="H172" s="158">
        <f>H32</f>
        <v>83.8</v>
      </c>
      <c r="I172" s="143"/>
      <c r="J172" s="448">
        <f>J32</f>
        <v>191.40199999999999</v>
      </c>
      <c r="K172" s="143"/>
      <c r="L172" s="143">
        <v>282.39999999999998</v>
      </c>
      <c r="M172" s="143"/>
      <c r="N172" s="158">
        <f>N32</f>
        <v>380.4</v>
      </c>
      <c r="O172" s="158"/>
      <c r="P172" s="158"/>
      <c r="Q172" s="254"/>
      <c r="R172" s="244"/>
      <c r="S172" s="56"/>
      <c r="T172" s="56"/>
      <c r="U172" s="56"/>
    </row>
    <row r="173" spans="1:22" s="45" customFormat="1" ht="11.45" customHeight="1">
      <c r="A173" s="143"/>
      <c r="B173" s="143" t="s">
        <v>61</v>
      </c>
      <c r="C173" s="143"/>
      <c r="D173" s="143"/>
      <c r="E173" s="143"/>
      <c r="F173" s="158">
        <f>F33</f>
        <v>63.161000000000001</v>
      </c>
      <c r="G173" s="158"/>
      <c r="H173" s="158">
        <f>H33</f>
        <v>36.6</v>
      </c>
      <c r="I173" s="143"/>
      <c r="J173" s="429">
        <f>J33</f>
        <v>174.36100000000002</v>
      </c>
      <c r="K173" s="143"/>
      <c r="L173" s="143">
        <v>126.8</v>
      </c>
      <c r="M173" s="143"/>
      <c r="N173" s="158">
        <f>N33</f>
        <v>194.3</v>
      </c>
      <c r="O173" s="158"/>
      <c r="P173" s="158"/>
      <c r="Q173" s="244"/>
      <c r="R173" s="244"/>
      <c r="S173" s="56"/>
      <c r="T173" s="63"/>
    </row>
    <row r="174" spans="1:22" s="45" customFormat="1" ht="11.45" customHeight="1">
      <c r="A174" s="143"/>
      <c r="B174" s="143" t="s">
        <v>142</v>
      </c>
      <c r="C174" s="143"/>
      <c r="D174" s="143"/>
      <c r="E174" s="143"/>
      <c r="F174" s="158">
        <f>-CF!F19</f>
        <v>63</v>
      </c>
      <c r="G174" s="158"/>
      <c r="H174" s="158">
        <f>-CF!H19</f>
        <v>95.5</v>
      </c>
      <c r="I174" s="143"/>
      <c r="J174" s="143">
        <f>-CF!J19</f>
        <v>153.1</v>
      </c>
      <c r="K174" s="143"/>
      <c r="L174" s="143">
        <v>233.1</v>
      </c>
      <c r="M174" s="143"/>
      <c r="N174" s="158">
        <f>-CF!N19</f>
        <v>303.3</v>
      </c>
      <c r="O174" s="158"/>
      <c r="P174" s="158"/>
      <c r="Q174" s="244"/>
      <c r="R174" s="244"/>
      <c r="S174" s="56"/>
      <c r="T174" s="63"/>
    </row>
    <row r="175" spans="1:22" s="45" customFormat="1" ht="11.45" customHeight="1">
      <c r="A175" s="143"/>
      <c r="B175" s="143" t="s">
        <v>159</v>
      </c>
      <c r="C175" s="143"/>
      <c r="D175" s="143"/>
      <c r="E175" s="143"/>
      <c r="F175" s="259">
        <f>-(Notes!F32/CF!F19)</f>
        <v>1.3381269841269843</v>
      </c>
      <c r="G175" s="259"/>
      <c r="H175" s="259">
        <f>H172/H174</f>
        <v>0.87748691099476439</v>
      </c>
      <c r="I175" s="143"/>
      <c r="J175" s="259">
        <f>J172/J174</f>
        <v>1.2501763553233181</v>
      </c>
      <c r="K175" s="143"/>
      <c r="L175" s="428">
        <v>1.21</v>
      </c>
      <c r="M175" s="143"/>
      <c r="N175" s="259">
        <v>1.25</v>
      </c>
      <c r="O175" s="259"/>
      <c r="P175" s="259"/>
      <c r="Q175" s="244"/>
      <c r="R175" s="244"/>
      <c r="S175" s="56"/>
      <c r="T175" s="204"/>
    </row>
    <row r="176" spans="1:22" s="45" customFormat="1" ht="11.45" customHeight="1">
      <c r="A176" s="143"/>
      <c r="B176" s="143" t="s">
        <v>143</v>
      </c>
      <c r="C176" s="143"/>
      <c r="D176" s="143"/>
      <c r="E176" s="143"/>
      <c r="F176" s="158">
        <f>F104</f>
        <v>1.8069999999999999</v>
      </c>
      <c r="G176" s="158"/>
      <c r="H176" s="158">
        <f>H104</f>
        <v>5</v>
      </c>
      <c r="I176" s="158"/>
      <c r="J176" s="158">
        <f>J104</f>
        <v>10.607000000000001</v>
      </c>
      <c r="K176" s="158"/>
      <c r="L176" s="158">
        <v>14.7</v>
      </c>
      <c r="M176" s="158"/>
      <c r="N176" s="158">
        <f>N104</f>
        <v>19.600000000000001</v>
      </c>
      <c r="O176" s="158"/>
      <c r="P176" s="158"/>
      <c r="Q176" s="244"/>
      <c r="R176" s="260"/>
      <c r="S176" s="57"/>
      <c r="T176" s="63"/>
    </row>
    <row r="177" spans="1:23" s="45" customFormat="1" ht="11.45" customHeight="1">
      <c r="A177" s="142"/>
      <c r="B177" s="142" t="s">
        <v>126</v>
      </c>
      <c r="C177" s="142"/>
      <c r="D177" s="142"/>
      <c r="E177" s="142"/>
      <c r="F177" s="159">
        <v>25.725000000000001</v>
      </c>
      <c r="G177" s="264"/>
      <c r="H177" s="159">
        <v>35.4</v>
      </c>
      <c r="I177" s="461"/>
      <c r="J177" s="409">
        <f>23+F177</f>
        <v>48.725000000000001</v>
      </c>
      <c r="K177" s="461"/>
      <c r="L177" s="142">
        <v>90.1</v>
      </c>
      <c r="M177" s="461"/>
      <c r="N177" s="159">
        <v>107</v>
      </c>
      <c r="O177" s="159"/>
      <c r="P177" s="158"/>
      <c r="Q177" s="244"/>
      <c r="R177" s="260"/>
      <c r="S177" s="57"/>
      <c r="T177" s="63"/>
    </row>
    <row r="178" spans="1:23" s="45" customFormat="1" ht="11.45" customHeight="1">
      <c r="A178" s="142"/>
      <c r="B178" s="142" t="s">
        <v>144</v>
      </c>
      <c r="C178" s="142"/>
      <c r="D178" s="142"/>
      <c r="E178" s="142"/>
      <c r="F178" s="159">
        <f>F73</f>
        <v>86.183999999999997</v>
      </c>
      <c r="G178" s="159"/>
      <c r="H178" s="159">
        <f>H73</f>
        <v>78.7</v>
      </c>
      <c r="I178" s="142"/>
      <c r="J178" s="409">
        <f>J73</f>
        <v>202.584</v>
      </c>
      <c r="K178" s="142"/>
      <c r="L178" s="409">
        <f>L73</f>
        <v>225.8</v>
      </c>
      <c r="M178" s="142"/>
      <c r="N178" s="159">
        <f>N73</f>
        <v>327.60000000000002</v>
      </c>
      <c r="O178" s="159"/>
      <c r="P178" s="158"/>
      <c r="Q178" s="244"/>
      <c r="R178" s="261"/>
      <c r="S178" s="57"/>
      <c r="T178" s="63"/>
    </row>
    <row r="179" spans="1:23" s="45" customFormat="1" ht="11.45" customHeight="1">
      <c r="A179" s="142"/>
      <c r="B179" s="142" t="s">
        <v>254</v>
      </c>
      <c r="C179" s="142"/>
      <c r="D179" s="142"/>
      <c r="E179" s="142"/>
      <c r="F179" s="159">
        <v>0</v>
      </c>
      <c r="G179" s="159"/>
      <c r="H179" s="159">
        <v>0</v>
      </c>
      <c r="I179" s="142"/>
      <c r="J179" s="409">
        <v>14.6</v>
      </c>
      <c r="K179" s="142"/>
      <c r="L179" s="409">
        <v>0</v>
      </c>
      <c r="M179" s="142"/>
      <c r="N179" s="159">
        <v>0</v>
      </c>
      <c r="O179" s="158"/>
      <c r="P179" s="158"/>
      <c r="Q179" s="244"/>
      <c r="R179" s="261"/>
      <c r="S179" s="57"/>
      <c r="T179" s="63"/>
    </row>
    <row r="180" spans="1:23" s="45" customFormat="1" ht="11.45" customHeight="1">
      <c r="A180" s="144"/>
      <c r="B180" s="144" t="s">
        <v>256</v>
      </c>
      <c r="C180" s="144"/>
      <c r="D180" s="144"/>
      <c r="E180" s="143"/>
      <c r="F180" s="202">
        <v>9.1999999999999993</v>
      </c>
      <c r="G180" s="158"/>
      <c r="H180" s="202">
        <v>0</v>
      </c>
      <c r="I180" s="143"/>
      <c r="J180" s="438">
        <v>9.1999999999999993</v>
      </c>
      <c r="K180" s="143"/>
      <c r="L180" s="438">
        <v>0</v>
      </c>
      <c r="M180" s="143"/>
      <c r="N180" s="202">
        <f>102.5</f>
        <v>102.5</v>
      </c>
      <c r="O180" s="158"/>
      <c r="P180" s="158"/>
      <c r="Q180" s="244"/>
      <c r="R180" s="261"/>
      <c r="S180" s="57"/>
      <c r="T180" s="63"/>
    </row>
    <row r="181" spans="1:23" s="45" customFormat="1" ht="11.45" customHeight="1">
      <c r="A181" s="142"/>
      <c r="B181" s="142"/>
      <c r="C181" s="142"/>
      <c r="D181" s="142"/>
      <c r="E181" s="142"/>
      <c r="F181" s="258"/>
      <c r="G181" s="258"/>
      <c r="H181" s="258"/>
      <c r="I181" s="142"/>
      <c r="J181" s="142"/>
      <c r="K181" s="142"/>
      <c r="L181" s="142"/>
      <c r="M181" s="142"/>
      <c r="N181" s="258"/>
      <c r="O181" s="258"/>
      <c r="P181" s="258"/>
      <c r="Q181" s="258"/>
      <c r="R181" s="244"/>
      <c r="S181" s="109"/>
      <c r="T181" s="57"/>
    </row>
    <row r="182" spans="1:23" s="45" customFormat="1" ht="11.45" customHeight="1">
      <c r="A182" s="262"/>
      <c r="B182" s="263"/>
      <c r="C182" s="263"/>
      <c r="D182" s="263"/>
      <c r="E182" s="263"/>
      <c r="F182" s="244"/>
      <c r="G182" s="244"/>
      <c r="H182" s="244"/>
      <c r="I182" s="263"/>
      <c r="J182" s="263"/>
      <c r="K182" s="263"/>
      <c r="L182" s="263"/>
      <c r="M182" s="263"/>
      <c r="N182" s="244"/>
      <c r="O182" s="244"/>
      <c r="P182" s="244"/>
      <c r="Q182" s="244"/>
      <c r="R182" s="143"/>
      <c r="S182" s="56"/>
      <c r="T182" s="57"/>
    </row>
    <row r="183" spans="1:23" s="45" customFormat="1" ht="15" customHeight="1">
      <c r="A183" s="436" t="s">
        <v>214</v>
      </c>
      <c r="B183" s="435"/>
      <c r="C183" s="435"/>
      <c r="D183" s="435"/>
      <c r="E183" s="222"/>
      <c r="F183" s="222" t="s">
        <v>0</v>
      </c>
      <c r="G183" s="222"/>
      <c r="H183" s="222" t="s">
        <v>0</v>
      </c>
      <c r="I183" s="222"/>
      <c r="J183" s="222"/>
      <c r="K183" s="222"/>
      <c r="L183" s="222"/>
      <c r="M183" s="222"/>
      <c r="N183" s="222" t="s">
        <v>0</v>
      </c>
      <c r="O183" s="222"/>
      <c r="P183" s="222"/>
      <c r="Q183" s="458"/>
      <c r="R183" s="459"/>
      <c r="S183" s="460"/>
      <c r="T183" s="460"/>
      <c r="U183" s="84"/>
      <c r="V183" s="84"/>
      <c r="W183" s="83"/>
    </row>
    <row r="184" spans="1:23" s="45" customFormat="1" ht="11.45" customHeight="1">
      <c r="A184" s="449" t="s">
        <v>0</v>
      </c>
      <c r="B184" s="143"/>
      <c r="C184" s="143"/>
      <c r="D184" s="143"/>
      <c r="E184" s="143"/>
      <c r="F184" s="293"/>
      <c r="G184" s="238"/>
      <c r="H184" s="238"/>
      <c r="I184" s="143"/>
      <c r="J184" s="143"/>
      <c r="K184" s="143"/>
      <c r="L184" s="143"/>
      <c r="M184" s="143"/>
      <c r="N184" s="244"/>
      <c r="O184" s="238"/>
      <c r="P184" s="244"/>
      <c r="Q184" s="244"/>
      <c r="R184" s="143"/>
      <c r="S184" s="56"/>
      <c r="T184" s="57"/>
    </row>
    <row r="185" spans="1:23" s="45" customFormat="1" ht="11.45" customHeight="1" thickBot="1">
      <c r="A185" s="224" t="s">
        <v>153</v>
      </c>
      <c r="B185" s="224"/>
      <c r="C185" s="224"/>
      <c r="D185" s="224"/>
      <c r="E185" s="224"/>
      <c r="F185" s="255"/>
      <c r="G185" s="255"/>
      <c r="H185" s="255"/>
      <c r="I185" s="255"/>
      <c r="J185" s="255"/>
      <c r="K185" s="255"/>
      <c r="L185" s="255"/>
      <c r="M185" s="255"/>
      <c r="N185" s="255"/>
      <c r="O185" s="244"/>
      <c r="P185" s="244"/>
      <c r="Q185" s="108"/>
      <c r="R185" s="57"/>
      <c r="S185" s="63"/>
      <c r="T185" s="63"/>
    </row>
    <row r="186" spans="1:23" s="80" customFormat="1" ht="11.45" customHeight="1">
      <c r="A186" s="225"/>
      <c r="B186" s="225"/>
      <c r="C186" s="225"/>
      <c r="D186" s="225"/>
      <c r="E186" s="225"/>
      <c r="F186" s="559" t="s">
        <v>232</v>
      </c>
      <c r="G186" s="559"/>
      <c r="H186" s="559"/>
      <c r="I186" s="437"/>
      <c r="J186" s="442" t="s">
        <v>1</v>
      </c>
      <c r="K186" s="437"/>
      <c r="L186" s="437"/>
      <c r="M186" s="437"/>
      <c r="O186" s="445"/>
      <c r="P186" s="225"/>
    </row>
    <row r="187" spans="1:23" s="45" customFormat="1" ht="11.45" customHeight="1">
      <c r="A187" s="146" t="s">
        <v>106</v>
      </c>
      <c r="B187" s="144"/>
      <c r="C187" s="144"/>
      <c r="D187" s="144"/>
      <c r="E187" s="143"/>
      <c r="F187" s="292">
        <v>2016</v>
      </c>
      <c r="G187" s="229"/>
      <c r="H187" s="292">
        <v>2015</v>
      </c>
      <c r="I187" s="450"/>
      <c r="J187" s="230">
        <v>2015</v>
      </c>
      <c r="K187" s="450"/>
      <c r="L187" s="450"/>
      <c r="M187" s="450"/>
      <c r="N187" s="63"/>
      <c r="O187" s="245"/>
      <c r="P187" s="143"/>
      <c r="Q187" s="108"/>
      <c r="R187" s="57"/>
      <c r="S187" s="63"/>
      <c r="T187" s="63"/>
    </row>
    <row r="188" spans="1:23" ht="11.45" customHeight="1">
      <c r="A188" s="143"/>
      <c r="B188" s="205" t="s">
        <v>145</v>
      </c>
      <c r="C188" s="270"/>
      <c r="D188" s="270"/>
      <c r="E188" s="143"/>
      <c r="F188" s="158" t="s">
        <v>0</v>
      </c>
      <c r="G188" s="238"/>
      <c r="H188" s="53"/>
      <c r="I188" s="143"/>
      <c r="J188" s="158"/>
      <c r="K188" s="143"/>
      <c r="L188" s="143"/>
      <c r="M188" s="143"/>
      <c r="N188" s="53"/>
      <c r="O188" s="238"/>
      <c r="P188" s="238"/>
      <c r="Q188" s="238"/>
      <c r="R188" s="244"/>
      <c r="S188" s="140"/>
      <c r="T188" s="53"/>
    </row>
    <row r="189" spans="1:23" ht="11.45" customHeight="1">
      <c r="A189" s="143"/>
      <c r="B189" s="199" t="s">
        <v>217</v>
      </c>
      <c r="C189" s="270"/>
      <c r="D189" s="270"/>
      <c r="E189" s="143"/>
      <c r="F189" s="158">
        <v>390</v>
      </c>
      <c r="G189" s="238"/>
      <c r="H189" s="158">
        <v>394</v>
      </c>
      <c r="I189" s="143"/>
      <c r="J189" s="158">
        <v>393</v>
      </c>
      <c r="K189" s="143"/>
      <c r="L189" s="143"/>
      <c r="M189" s="143"/>
      <c r="N189" s="53"/>
      <c r="O189" s="238"/>
      <c r="P189" s="238"/>
      <c r="Q189" s="238"/>
      <c r="R189" s="244"/>
      <c r="S189" s="140"/>
      <c r="T189" s="53"/>
    </row>
    <row r="190" spans="1:23" ht="11.45" customHeight="1">
      <c r="A190" s="143"/>
      <c r="B190" s="199" t="s">
        <v>146</v>
      </c>
      <c r="C190" s="270"/>
      <c r="D190" s="270"/>
      <c r="E190" s="143"/>
      <c r="F190" s="158">
        <v>187.5</v>
      </c>
      <c r="G190" s="238"/>
      <c r="H190" s="158">
        <v>208.3</v>
      </c>
      <c r="I190" s="143"/>
      <c r="J190" s="158">
        <v>203.1</v>
      </c>
      <c r="K190" s="143"/>
      <c r="L190" s="143"/>
      <c r="M190" s="143"/>
      <c r="N190" s="53"/>
      <c r="O190" s="238"/>
      <c r="P190" s="238"/>
      <c r="Q190" s="238"/>
      <c r="R190" s="244"/>
      <c r="S190" s="140"/>
      <c r="T190" s="53"/>
    </row>
    <row r="191" spans="1:23" ht="11.45" customHeight="1">
      <c r="A191" s="143"/>
      <c r="B191" s="199" t="s">
        <v>147</v>
      </c>
      <c r="C191" s="270"/>
      <c r="D191" s="270"/>
      <c r="E191" s="143"/>
      <c r="F191" s="158">
        <v>198.6</v>
      </c>
      <c r="G191" s="238"/>
      <c r="H191" s="158">
        <v>76.2</v>
      </c>
      <c r="I191" s="143"/>
      <c r="J191" s="158">
        <v>76.099999999999994</v>
      </c>
      <c r="K191" s="143"/>
      <c r="L191" s="143"/>
      <c r="M191" s="143"/>
      <c r="N191" s="53"/>
      <c r="O191" s="238"/>
      <c r="P191" s="238"/>
      <c r="Q191" s="238"/>
      <c r="R191" s="244"/>
      <c r="S191" s="140"/>
      <c r="T191" s="53"/>
    </row>
    <row r="192" spans="1:23" ht="11.45" customHeight="1">
      <c r="A192" s="143"/>
      <c r="B192" s="199" t="s">
        <v>178</v>
      </c>
      <c r="C192" s="270"/>
      <c r="D192" s="270"/>
      <c r="E192" s="143"/>
      <c r="F192" s="158">
        <v>160</v>
      </c>
      <c r="G192" s="238"/>
      <c r="H192" s="158">
        <v>90</v>
      </c>
      <c r="I192" s="143"/>
      <c r="J192" s="158">
        <v>25</v>
      </c>
      <c r="K192" s="143"/>
      <c r="L192" s="143"/>
      <c r="M192" s="143"/>
      <c r="N192" s="53"/>
      <c r="O192" s="238"/>
      <c r="P192" s="238"/>
      <c r="Q192" s="238"/>
      <c r="R192" s="244"/>
      <c r="S192" s="140"/>
      <c r="T192" s="53"/>
    </row>
    <row r="193" spans="1:20" ht="11.45" customHeight="1">
      <c r="A193" s="143"/>
      <c r="B193" s="205" t="s">
        <v>148</v>
      </c>
      <c r="C193" s="270"/>
      <c r="D193" s="270"/>
      <c r="E193" s="143"/>
      <c r="F193" s="158"/>
      <c r="G193" s="238"/>
      <c r="H193" s="158"/>
      <c r="I193" s="143"/>
      <c r="J193" s="158"/>
      <c r="K193" s="143"/>
      <c r="L193" s="143"/>
      <c r="M193" s="143"/>
      <c r="N193" s="53"/>
      <c r="O193" s="238"/>
      <c r="P193" s="238"/>
      <c r="Q193" s="238"/>
      <c r="R193" s="244"/>
      <c r="S193" s="140"/>
      <c r="T193" s="53"/>
    </row>
    <row r="194" spans="1:20" ht="11.45" customHeight="1">
      <c r="A194" s="143"/>
      <c r="B194" s="199" t="s">
        <v>149</v>
      </c>
      <c r="C194" s="270"/>
      <c r="D194" s="270"/>
      <c r="E194" s="143"/>
      <c r="F194" s="158">
        <v>450</v>
      </c>
      <c r="G194" s="238"/>
      <c r="H194" s="202">
        <v>450</v>
      </c>
      <c r="I194" s="143"/>
      <c r="J194" s="158">
        <v>450</v>
      </c>
      <c r="K194" s="143"/>
      <c r="L194" s="143"/>
      <c r="M194" s="143"/>
      <c r="N194" s="53"/>
      <c r="O194" s="238"/>
      <c r="P194" s="238"/>
      <c r="Q194" s="238"/>
      <c r="R194" s="244"/>
      <c r="S194" s="140"/>
      <c r="T194" s="53"/>
    </row>
    <row r="195" spans="1:20" s="45" customFormat="1" ht="13.5" customHeight="1">
      <c r="A195" s="441"/>
      <c r="B195" s="441" t="s">
        <v>45</v>
      </c>
      <c r="C195" s="441"/>
      <c r="D195" s="441"/>
      <c r="E195" s="143"/>
      <c r="F195" s="160">
        <f>SUM(F189:F194)</f>
        <v>1386.1</v>
      </c>
      <c r="G195" s="158"/>
      <c r="H195" s="451">
        <f>SUM(H189:H194)</f>
        <v>1218.5</v>
      </c>
      <c r="I195" s="157"/>
      <c r="J195" s="160">
        <f>SUM(J189:J194)</f>
        <v>1147.2</v>
      </c>
      <c r="K195" s="157"/>
      <c r="L195" s="157"/>
      <c r="M195" s="157"/>
      <c r="N195" s="452"/>
      <c r="O195" s="244"/>
      <c r="P195" s="251"/>
      <c r="Q195" s="53"/>
      <c r="R195" s="56"/>
      <c r="S195" s="56"/>
      <c r="T195" s="63"/>
    </row>
    <row r="196" spans="1:20" s="45" customFormat="1" ht="11.45" customHeight="1">
      <c r="A196" s="143"/>
      <c r="B196" s="199" t="s">
        <v>150</v>
      </c>
      <c r="C196" s="142"/>
      <c r="D196" s="142"/>
      <c r="E196" s="143"/>
      <c r="F196" s="159">
        <v>-37.700000000000003</v>
      </c>
      <c r="G196" s="158"/>
      <c r="H196" s="158">
        <v>-24.8</v>
      </c>
      <c r="I196" s="157"/>
      <c r="J196" s="159">
        <v>-24.8</v>
      </c>
      <c r="K196" s="157"/>
      <c r="L196" s="157"/>
      <c r="M196" s="157"/>
      <c r="N196" s="63"/>
      <c r="O196" s="244"/>
      <c r="P196" s="251"/>
      <c r="Q196" s="53"/>
      <c r="R196" s="56"/>
      <c r="S196" s="56"/>
      <c r="T196" s="63"/>
    </row>
    <row r="197" spans="1:20" s="45" customFormat="1" ht="11.45" customHeight="1">
      <c r="A197" s="143"/>
      <c r="B197" s="199" t="s">
        <v>151</v>
      </c>
      <c r="C197" s="142"/>
      <c r="D197" s="142"/>
      <c r="E197" s="143"/>
      <c r="F197" s="159">
        <v>-22.3</v>
      </c>
      <c r="G197" s="158"/>
      <c r="H197" s="158">
        <v>-21.7</v>
      </c>
      <c r="I197" s="157"/>
      <c r="J197" s="159">
        <v>-22.5</v>
      </c>
      <c r="K197" s="157"/>
      <c r="L197" s="157"/>
      <c r="M197" s="157"/>
      <c r="N197" s="63"/>
      <c r="O197" s="244"/>
      <c r="P197" s="251"/>
      <c r="Q197" s="53"/>
      <c r="R197" s="474"/>
      <c r="S197" s="474"/>
      <c r="T197" s="63"/>
    </row>
    <row r="198" spans="1:20" s="62" customFormat="1" ht="11.45" customHeight="1">
      <c r="A198" s="145"/>
      <c r="B198" s="297" t="s">
        <v>152</v>
      </c>
      <c r="C198" s="145"/>
      <c r="D198" s="145"/>
      <c r="E198" s="298"/>
      <c r="F198" s="160">
        <f>SUM(F195:F197)</f>
        <v>1326.1</v>
      </c>
      <c r="G198" s="272"/>
      <c r="H198" s="160">
        <f>SUM(H195:H197)</f>
        <v>1172</v>
      </c>
      <c r="I198" s="298"/>
      <c r="J198" s="160">
        <f>SUM(J195:J197)</f>
        <v>1099.9000000000001</v>
      </c>
      <c r="K198" s="298"/>
      <c r="L198" s="298"/>
      <c r="M198" s="298"/>
      <c r="N198" s="453"/>
      <c r="O198" s="239"/>
      <c r="P198" s="239"/>
      <c r="Q198" s="272"/>
      <c r="R198" s="239"/>
      <c r="S198" s="475"/>
      <c r="T198" s="453"/>
    </row>
    <row r="199" spans="1:20" ht="11.45" customHeight="1">
      <c r="A199" s="143"/>
      <c r="B199" s="142"/>
      <c r="C199" s="142"/>
      <c r="D199" s="142"/>
      <c r="E199" s="143"/>
      <c r="F199" s="157"/>
      <c r="G199" s="158"/>
      <c r="H199" s="51"/>
      <c r="I199" s="143"/>
      <c r="J199" s="157"/>
      <c r="K199" s="143"/>
      <c r="L199" s="143"/>
      <c r="M199" s="143"/>
      <c r="N199" s="53"/>
      <c r="O199" s="158"/>
      <c r="P199" s="157"/>
      <c r="Q199" s="244"/>
      <c r="R199" s="251"/>
      <c r="S199" s="53"/>
      <c r="T199" s="53"/>
    </row>
    <row r="200" spans="1:20" ht="11.45" customHeight="1" thickBot="1">
      <c r="A200" s="278" t="s">
        <v>154</v>
      </c>
      <c r="B200" s="255"/>
      <c r="C200" s="278"/>
      <c r="D200" s="278"/>
      <c r="E200" s="224"/>
      <c r="F200" s="158"/>
      <c r="G200" s="238"/>
      <c r="H200" s="454"/>
      <c r="I200" s="355"/>
      <c r="J200" s="158"/>
      <c r="K200" s="141"/>
      <c r="L200" s="141"/>
      <c r="M200" s="141"/>
      <c r="N200" s="53"/>
      <c r="O200" s="238"/>
      <c r="P200" s="238"/>
      <c r="Q200" s="238"/>
      <c r="R200" s="244"/>
      <c r="S200" s="140"/>
      <c r="T200" s="53"/>
    </row>
    <row r="201" spans="1:20" s="80" customFormat="1" ht="11.45" customHeight="1">
      <c r="A201" s="225"/>
      <c r="B201" s="225"/>
      <c r="C201" s="225"/>
      <c r="D201" s="225"/>
      <c r="E201" s="225"/>
      <c r="F201" s="559" t="s">
        <v>232</v>
      </c>
      <c r="G201" s="559"/>
      <c r="H201" s="559"/>
      <c r="I201" s="437"/>
      <c r="J201" s="444" t="s">
        <v>1</v>
      </c>
      <c r="K201" s="437"/>
      <c r="L201" s="437"/>
      <c r="M201" s="437"/>
      <c r="O201" s="445"/>
      <c r="P201" s="225"/>
    </row>
    <row r="202" spans="1:20" ht="11.45" customHeight="1">
      <c r="A202" s="146" t="s">
        <v>106</v>
      </c>
      <c r="B202" s="144"/>
      <c r="C202" s="144"/>
      <c r="D202" s="144"/>
      <c r="E202" s="143"/>
      <c r="F202" s="292">
        <v>2016</v>
      </c>
      <c r="G202" s="229"/>
      <c r="H202" s="292">
        <v>2015</v>
      </c>
      <c r="I202" s="450"/>
      <c r="J202" s="230">
        <v>2015</v>
      </c>
      <c r="K202" s="450"/>
      <c r="L202" s="450"/>
      <c r="M202" s="450"/>
      <c r="N202" s="53"/>
      <c r="O202" s="245"/>
      <c r="P202" s="251"/>
      <c r="Q202" s="53"/>
      <c r="R202" s="53"/>
      <c r="S202" s="53"/>
      <c r="T202" s="53"/>
    </row>
    <row r="203" spans="1:20" ht="11.45" customHeight="1">
      <c r="A203" s="143"/>
      <c r="B203" s="205" t="s">
        <v>145</v>
      </c>
      <c r="C203" s="270"/>
      <c r="D203" s="270"/>
      <c r="E203" s="143"/>
      <c r="F203" s="158" t="s">
        <v>0</v>
      </c>
      <c r="G203" s="238"/>
      <c r="H203" s="53"/>
      <c r="I203" s="143"/>
      <c r="J203" s="158"/>
      <c r="K203" s="143"/>
      <c r="L203" s="143"/>
      <c r="M203" s="143"/>
      <c r="N203" s="53"/>
      <c r="O203" s="238"/>
      <c r="P203" s="238"/>
      <c r="Q203" s="238"/>
      <c r="R203" s="244"/>
      <c r="S203" s="140"/>
      <c r="T203" s="53"/>
    </row>
    <row r="204" spans="1:20" ht="11.45" customHeight="1">
      <c r="A204" s="143"/>
      <c r="B204" s="199" t="s">
        <v>179</v>
      </c>
      <c r="C204" s="270"/>
      <c r="D204" s="270"/>
      <c r="E204" s="143"/>
      <c r="F204" s="158">
        <v>340</v>
      </c>
      <c r="G204" s="238"/>
      <c r="H204" s="158">
        <v>410</v>
      </c>
      <c r="I204" s="143"/>
      <c r="J204" s="158">
        <v>475</v>
      </c>
      <c r="K204" s="143"/>
      <c r="L204" s="143"/>
      <c r="M204" s="143"/>
      <c r="N204" s="53"/>
      <c r="O204" s="238"/>
      <c r="P204" s="238"/>
      <c r="Q204" s="238"/>
      <c r="R204" s="244"/>
      <c r="S204" s="140"/>
      <c r="T204" s="53"/>
    </row>
    <row r="205" spans="1:20" ht="11.45" customHeight="1">
      <c r="A205" s="143"/>
      <c r="B205" s="199" t="s">
        <v>155</v>
      </c>
      <c r="C205" s="270"/>
      <c r="D205" s="270"/>
      <c r="E205" s="143"/>
      <c r="F205" s="158">
        <v>91.2</v>
      </c>
      <c r="G205" s="238"/>
      <c r="H205" s="158">
        <v>220.4</v>
      </c>
      <c r="I205" s="143"/>
      <c r="J205" s="158">
        <v>220.5</v>
      </c>
      <c r="K205" s="143"/>
      <c r="L205" s="143"/>
      <c r="M205" s="143"/>
      <c r="N205" s="53"/>
      <c r="O205" s="238"/>
      <c r="P205" s="238"/>
      <c r="Q205" s="238"/>
      <c r="R205" s="244"/>
      <c r="S205" s="140"/>
      <c r="T205" s="53"/>
    </row>
    <row r="206" spans="1:20" ht="11.45" customHeight="1">
      <c r="A206" s="143"/>
      <c r="B206" s="205" t="s">
        <v>148</v>
      </c>
      <c r="C206" s="270"/>
      <c r="D206" s="270"/>
      <c r="E206" s="143"/>
      <c r="F206" s="158"/>
      <c r="G206" s="238"/>
      <c r="H206" s="158"/>
      <c r="I206" s="143"/>
      <c r="J206" s="158"/>
      <c r="K206" s="143"/>
      <c r="L206" s="143"/>
      <c r="M206" s="143"/>
      <c r="N206" s="53"/>
      <c r="O206" s="238"/>
      <c r="P206" s="238"/>
      <c r="Q206" s="238"/>
      <c r="R206" s="244"/>
      <c r="S206" s="140"/>
      <c r="T206" s="53"/>
    </row>
    <row r="207" spans="1:20" ht="11.45" customHeight="1">
      <c r="A207" s="143"/>
      <c r="B207" s="199" t="s">
        <v>156</v>
      </c>
      <c r="C207" s="270"/>
      <c r="D207" s="270"/>
      <c r="E207" s="143"/>
      <c r="F207" s="158">
        <v>6.2</v>
      </c>
      <c r="G207" s="238"/>
      <c r="H207" s="158">
        <v>5.9</v>
      </c>
      <c r="I207" s="143"/>
      <c r="J207" s="158">
        <v>5.7</v>
      </c>
      <c r="K207" s="143"/>
      <c r="L207" s="143"/>
      <c r="M207" s="143"/>
      <c r="N207" s="452"/>
      <c r="O207" s="238"/>
      <c r="P207" s="238"/>
      <c r="Q207" s="238"/>
      <c r="R207" s="244"/>
      <c r="S207" s="140"/>
      <c r="T207" s="53"/>
    </row>
    <row r="208" spans="1:20" ht="11.45" customHeight="1">
      <c r="A208" s="143"/>
      <c r="B208" s="199" t="s">
        <v>157</v>
      </c>
      <c r="C208" s="270"/>
      <c r="D208" s="270"/>
      <c r="E208" s="143"/>
      <c r="F208" s="158">
        <v>8</v>
      </c>
      <c r="G208" s="238"/>
      <c r="H208" s="158">
        <v>15.7</v>
      </c>
      <c r="I208" s="143"/>
      <c r="J208" s="158">
        <v>10.7</v>
      </c>
      <c r="K208" s="143"/>
      <c r="L208" s="143"/>
      <c r="M208" s="143"/>
      <c r="N208" s="53"/>
      <c r="O208" s="238"/>
      <c r="P208" s="238"/>
      <c r="Q208" s="238"/>
      <c r="R208" s="244"/>
      <c r="S208" s="140"/>
      <c r="T208" s="53"/>
    </row>
    <row r="209" spans="1:24" s="62" customFormat="1" ht="11.45" customHeight="1">
      <c r="A209" s="145"/>
      <c r="B209" s="297" t="s">
        <v>45</v>
      </c>
      <c r="C209" s="145"/>
      <c r="D209" s="145"/>
      <c r="E209" s="298"/>
      <c r="F209" s="160">
        <f>SUM(F204:F208)</f>
        <v>445.4</v>
      </c>
      <c r="G209" s="272"/>
      <c r="H209" s="160">
        <f>SUM(H204:H208)</f>
        <v>652</v>
      </c>
      <c r="I209" s="298"/>
      <c r="J209" s="160">
        <f>SUM(J204:J208)</f>
        <v>711.90000000000009</v>
      </c>
      <c r="K209" s="298"/>
      <c r="L209" s="298"/>
      <c r="M209" s="298"/>
      <c r="N209" s="453"/>
      <c r="O209" s="239"/>
      <c r="P209" s="239"/>
      <c r="Q209" s="272"/>
      <c r="R209" s="239"/>
      <c r="S209" s="475"/>
      <c r="T209" s="453"/>
    </row>
    <row r="210" spans="1:24" ht="11.45" customHeight="1">
      <c r="A210" s="262"/>
      <c r="B210" s="263"/>
      <c r="C210" s="263"/>
      <c r="D210" s="263"/>
      <c r="E210" s="263"/>
      <c r="F210" s="244"/>
      <c r="G210" s="244"/>
      <c r="H210" s="51"/>
      <c r="I210" s="263"/>
      <c r="J210" s="244"/>
      <c r="K210" s="263"/>
      <c r="L210" s="263"/>
      <c r="M210" s="263"/>
      <c r="N210" s="53"/>
      <c r="O210" s="244"/>
      <c r="P210" s="244"/>
      <c r="Q210" s="244"/>
      <c r="R210" s="447"/>
      <c r="S210" s="60"/>
      <c r="T210" s="53"/>
      <c r="W210" s="53"/>
      <c r="X210" s="53"/>
    </row>
    <row r="211" spans="1:24" ht="11.45" customHeight="1" thickBot="1">
      <c r="A211" s="278" t="s">
        <v>94</v>
      </c>
      <c r="B211" s="255"/>
      <c r="C211" s="278"/>
      <c r="D211" s="278"/>
      <c r="E211" s="224"/>
      <c r="F211" s="158"/>
      <c r="G211" s="238"/>
      <c r="H211" s="454"/>
      <c r="I211" s="224"/>
      <c r="J211" s="158"/>
      <c r="K211" s="142"/>
      <c r="L211" s="142"/>
      <c r="M211" s="142"/>
      <c r="N211" s="53"/>
      <c r="O211" s="238"/>
      <c r="P211" s="238"/>
      <c r="Q211" s="238"/>
      <c r="R211" s="244"/>
      <c r="S211" s="140"/>
      <c r="T211" s="53"/>
    </row>
    <row r="212" spans="1:24" s="80" customFormat="1" ht="11.45" customHeight="1">
      <c r="A212" s="225"/>
      <c r="B212" s="225"/>
      <c r="C212" s="225"/>
      <c r="D212" s="225"/>
      <c r="E212" s="225"/>
      <c r="F212" s="559" t="s">
        <v>232</v>
      </c>
      <c r="G212" s="559"/>
      <c r="H212" s="559"/>
      <c r="I212" s="437"/>
      <c r="J212" s="444" t="s">
        <v>1</v>
      </c>
      <c r="K212" s="437"/>
      <c r="L212" s="437"/>
      <c r="M212" s="437"/>
      <c r="O212" s="445"/>
      <c r="P212" s="225"/>
    </row>
    <row r="213" spans="1:24" ht="11.45" customHeight="1">
      <c r="A213" s="146" t="s">
        <v>106</v>
      </c>
      <c r="B213" s="146"/>
      <c r="C213" s="146"/>
      <c r="D213" s="146"/>
      <c r="E213" s="143"/>
      <c r="F213" s="292">
        <v>2016</v>
      </c>
      <c r="G213" s="229"/>
      <c r="H213" s="292">
        <v>2015</v>
      </c>
      <c r="I213" s="244"/>
      <c r="J213" s="230">
        <v>2015</v>
      </c>
      <c r="K213" s="244"/>
      <c r="L213" s="244"/>
      <c r="M213" s="244"/>
      <c r="N213" s="53"/>
      <c r="O213" s="450"/>
      <c r="P213" s="143"/>
      <c r="Q213" s="53"/>
      <c r="R213" s="53"/>
      <c r="S213" s="53"/>
      <c r="T213" s="53"/>
    </row>
    <row r="214" spans="1:24" ht="11.45" customHeight="1">
      <c r="A214" s="256"/>
      <c r="B214" s="256"/>
      <c r="C214" s="256"/>
      <c r="D214" s="256"/>
      <c r="E214" s="143"/>
      <c r="F214" s="455" t="s">
        <v>0</v>
      </c>
      <c r="G214" s="455"/>
      <c r="H214" s="53"/>
      <c r="I214" s="455"/>
      <c r="J214" s="455"/>
      <c r="K214" s="455"/>
      <c r="L214" s="455"/>
      <c r="M214" s="455"/>
      <c r="N214" s="53"/>
      <c r="O214" s="456"/>
      <c r="P214" s="143"/>
      <c r="Q214" s="53"/>
      <c r="R214" s="53"/>
      <c r="S214" s="53"/>
      <c r="T214" s="53"/>
    </row>
    <row r="215" spans="1:24" ht="11.45" customHeight="1">
      <c r="A215" s="143"/>
      <c r="B215" s="199" t="s">
        <v>2</v>
      </c>
      <c r="C215" s="270"/>
      <c r="D215" s="270"/>
      <c r="E215" s="143"/>
      <c r="F215" s="158">
        <v>77.3</v>
      </c>
      <c r="G215" s="238"/>
      <c r="H215" s="158">
        <f>BS!I7</f>
        <v>82.3</v>
      </c>
      <c r="I215" s="143"/>
      <c r="J215" s="158">
        <v>81.599999999999994</v>
      </c>
      <c r="K215" s="143"/>
      <c r="L215" s="143"/>
      <c r="M215" s="143"/>
      <c r="N215" s="53"/>
      <c r="O215" s="238"/>
      <c r="P215" s="238"/>
      <c r="Q215" s="238"/>
      <c r="R215" s="244"/>
      <c r="S215" s="140"/>
      <c r="T215" s="53"/>
    </row>
    <row r="216" spans="1:24" ht="11.45" customHeight="1">
      <c r="A216" s="142"/>
      <c r="B216" s="199" t="s">
        <v>47</v>
      </c>
      <c r="C216" s="142"/>
      <c r="D216" s="142"/>
      <c r="E216" s="143"/>
      <c r="F216" s="158">
        <v>100.2</v>
      </c>
      <c r="G216" s="272"/>
      <c r="H216" s="158">
        <v>67.7</v>
      </c>
      <c r="I216" s="143"/>
      <c r="J216" s="158">
        <v>71.5</v>
      </c>
      <c r="K216" s="143"/>
      <c r="L216" s="143"/>
      <c r="M216" s="143"/>
      <c r="N216" s="53"/>
      <c r="O216" s="272"/>
      <c r="P216" s="239"/>
      <c r="Q216" s="272"/>
      <c r="R216" s="239"/>
      <c r="S216" s="140"/>
      <c r="T216" s="53"/>
    </row>
    <row r="217" spans="1:24" ht="11.45" hidden="1" customHeight="1">
      <c r="A217" s="143"/>
      <c r="B217" s="199" t="s">
        <v>46</v>
      </c>
      <c r="C217" s="270"/>
      <c r="D217" s="270"/>
      <c r="E217" s="143"/>
      <c r="F217" s="158">
        <v>0</v>
      </c>
      <c r="G217" s="238"/>
      <c r="H217" s="158">
        <v>0</v>
      </c>
      <c r="I217" s="143"/>
      <c r="J217" s="158">
        <v>0</v>
      </c>
      <c r="K217" s="143"/>
      <c r="L217" s="143"/>
      <c r="M217" s="143"/>
      <c r="N217" s="53"/>
      <c r="O217" s="238"/>
      <c r="P217" s="238"/>
      <c r="Q217" s="238"/>
      <c r="R217" s="244"/>
      <c r="S217" s="140"/>
      <c r="T217" s="53"/>
    </row>
    <row r="218" spans="1:24" ht="11.45" customHeight="1">
      <c r="A218" s="142"/>
      <c r="B218" s="199" t="s">
        <v>15</v>
      </c>
      <c r="C218" s="142"/>
      <c r="D218" s="142"/>
      <c r="E218" s="143"/>
      <c r="F218" s="158">
        <v>-37.700000000000003</v>
      </c>
      <c r="G218" s="272"/>
      <c r="H218" s="158">
        <f>-BS!I24</f>
        <v>-24.8</v>
      </c>
      <c r="I218" s="143"/>
      <c r="J218" s="158">
        <v>-24.8</v>
      </c>
      <c r="K218" s="143"/>
      <c r="L218" s="143"/>
      <c r="M218" s="143"/>
      <c r="N218" s="452"/>
      <c r="O218" s="272"/>
      <c r="P218" s="239"/>
      <c r="Q218" s="272"/>
      <c r="R218" s="239"/>
      <c r="S218" s="140"/>
      <c r="T218" s="53"/>
    </row>
    <row r="219" spans="1:24" ht="11.45" customHeight="1">
      <c r="A219" s="143"/>
      <c r="B219" s="199" t="s">
        <v>182</v>
      </c>
      <c r="C219" s="270"/>
      <c r="D219" s="270"/>
      <c r="E219" s="143"/>
      <c r="F219" s="158">
        <v>-1326.1</v>
      </c>
      <c r="G219" s="238"/>
      <c r="H219" s="158">
        <f>-BS!I29</f>
        <v>-1172</v>
      </c>
      <c r="I219" s="143"/>
      <c r="J219" s="158">
        <v>-1099.9000000000001</v>
      </c>
      <c r="K219" s="143"/>
      <c r="L219" s="143"/>
      <c r="M219" s="143"/>
      <c r="N219" s="53"/>
      <c r="O219" s="238"/>
      <c r="P219" s="238"/>
      <c r="Q219" s="238"/>
      <c r="R219" s="244"/>
      <c r="S219" s="140"/>
      <c r="T219" s="53"/>
    </row>
    <row r="220" spans="1:24" ht="11.45" customHeight="1">
      <c r="A220" s="142"/>
      <c r="B220" s="199" t="s">
        <v>117</v>
      </c>
      <c r="C220" s="142"/>
      <c r="D220" s="142"/>
      <c r="E220" s="143"/>
      <c r="F220" s="158">
        <v>-22.3</v>
      </c>
      <c r="G220" s="272"/>
      <c r="H220" s="158">
        <v>-21.7</v>
      </c>
      <c r="I220" s="143"/>
      <c r="J220" s="158">
        <v>-22.5</v>
      </c>
      <c r="K220" s="143"/>
      <c r="L220" s="143"/>
      <c r="M220" s="143"/>
      <c r="N220" s="53"/>
      <c r="O220" s="239"/>
      <c r="P220" s="239"/>
      <c r="Q220" s="272"/>
      <c r="R220" s="239"/>
      <c r="S220" s="140"/>
      <c r="T220" s="53"/>
    </row>
    <row r="221" spans="1:24" s="62" customFormat="1" ht="11.45" customHeight="1">
      <c r="A221" s="145"/>
      <c r="B221" s="297" t="s">
        <v>45</v>
      </c>
      <c r="C221" s="145"/>
      <c r="D221" s="145"/>
      <c r="E221" s="298"/>
      <c r="F221" s="160">
        <f>SUM(F215:F220)</f>
        <v>-1208.5999999999999</v>
      </c>
      <c r="G221" s="272"/>
      <c r="H221" s="160">
        <f>SUM(H215:H220)+0.1</f>
        <v>-1068.4000000000001</v>
      </c>
      <c r="I221" s="298"/>
      <c r="J221" s="160">
        <f>SUM(J215:J220)-0.1</f>
        <v>-994.20000000000016</v>
      </c>
      <c r="K221" s="298"/>
      <c r="L221" s="298"/>
      <c r="M221" s="298"/>
      <c r="N221" s="453"/>
      <c r="O221" s="239"/>
      <c r="P221" s="239"/>
      <c r="Q221" s="272"/>
      <c r="R221" s="239"/>
      <c r="S221" s="475"/>
      <c r="T221" s="453"/>
    </row>
    <row r="222" spans="1:24" ht="11.45" customHeight="1">
      <c r="A222" s="262"/>
      <c r="B222" s="265"/>
      <c r="C222" s="265"/>
      <c r="D222" s="265"/>
      <c r="E222" s="265"/>
      <c r="F222" s="348"/>
      <c r="G222" s="348"/>
      <c r="H222" s="348"/>
      <c r="I222" s="348"/>
      <c r="J222" s="348"/>
      <c r="K222" s="348"/>
      <c r="L222" s="348"/>
      <c r="M222" s="348"/>
      <c r="N222" s="142"/>
      <c r="O222" s="348">
        <f t="shared" ref="O222" si="0">O221-O215-O216-O217</f>
        <v>0</v>
      </c>
      <c r="P222" s="447"/>
      <c r="Q222" s="53"/>
      <c r="R222" s="53"/>
      <c r="S222" s="53"/>
      <c r="T222" s="53"/>
    </row>
    <row r="223" spans="1:24" ht="11.45" customHeight="1">
      <c r="A223" s="266" t="s">
        <v>0</v>
      </c>
      <c r="B223" s="168"/>
      <c r="C223" s="267"/>
      <c r="D223" s="243"/>
      <c r="E223" s="243"/>
      <c r="F223" s="252"/>
      <c r="G223" s="252"/>
      <c r="H223" s="252"/>
      <c r="I223" s="243"/>
      <c r="J223" s="243"/>
      <c r="K223" s="243"/>
      <c r="L223" s="243"/>
      <c r="M223" s="243"/>
      <c r="N223" s="252"/>
      <c r="O223" s="252"/>
      <c r="P223" s="254"/>
      <c r="Q223" s="250"/>
      <c r="R223" s="252"/>
      <c r="S223" s="53"/>
      <c r="T223" s="53"/>
    </row>
    <row r="224" spans="1:24" s="45" customFormat="1" ht="15" customHeight="1">
      <c r="A224" s="220" t="s">
        <v>215</v>
      </c>
      <c r="B224" s="223"/>
      <c r="C224" s="223"/>
      <c r="D224" s="223"/>
      <c r="E224" s="221"/>
      <c r="F224" s="221" t="s">
        <v>0</v>
      </c>
      <c r="G224" s="221"/>
      <c r="H224" s="221" t="s">
        <v>0</v>
      </c>
      <c r="I224" s="221"/>
      <c r="J224" s="221"/>
      <c r="K224" s="221"/>
      <c r="L224" s="221"/>
      <c r="M224" s="221"/>
      <c r="N224" s="221" t="s">
        <v>0</v>
      </c>
      <c r="O224" s="222"/>
      <c r="P224" s="222"/>
      <c r="Q224" s="458"/>
      <c r="R224" s="459"/>
      <c r="S224" s="460"/>
      <c r="T224" s="460"/>
      <c r="U224" s="84"/>
      <c r="V224" s="84"/>
      <c r="W224" s="83"/>
    </row>
    <row r="225" spans="1:24" ht="11.45" customHeight="1">
      <c r="A225" s="266"/>
      <c r="B225" s="168"/>
      <c r="C225" s="267"/>
      <c r="D225" s="243"/>
      <c r="E225" s="243"/>
      <c r="F225" s="252"/>
      <c r="G225" s="252"/>
      <c r="H225" s="252"/>
      <c r="I225" s="243"/>
      <c r="J225" s="243"/>
      <c r="K225" s="243"/>
      <c r="L225" s="243"/>
      <c r="M225" s="243"/>
      <c r="N225" s="252"/>
      <c r="O225" s="252"/>
      <c r="P225" s="254"/>
      <c r="Q225" s="250"/>
      <c r="R225" s="252"/>
      <c r="S225" s="53"/>
      <c r="T225" s="53"/>
    </row>
    <row r="226" spans="1:24" ht="11.45" customHeight="1" thickBot="1">
      <c r="A226" s="309" t="s">
        <v>29</v>
      </c>
      <c r="B226" s="203"/>
      <c r="C226" s="224"/>
      <c r="D226" s="224"/>
      <c r="E226" s="224"/>
      <c r="F226" s="276"/>
      <c r="G226" s="277"/>
      <c r="H226" s="278"/>
      <c r="I226" s="224"/>
      <c r="J226" s="224"/>
      <c r="K226" s="224"/>
      <c r="L226" s="224"/>
      <c r="M226" s="224"/>
      <c r="N226" s="278"/>
      <c r="O226" s="277"/>
      <c r="P226" s="277"/>
      <c r="Q226" s="272"/>
      <c r="R226" s="239"/>
      <c r="S226" s="140"/>
      <c r="T226" s="53"/>
    </row>
    <row r="227" spans="1:24" ht="11.45" customHeight="1">
      <c r="A227" s="279" t="s">
        <v>0</v>
      </c>
      <c r="B227" s="270"/>
      <c r="C227" s="263"/>
      <c r="D227" s="263"/>
      <c r="E227" s="263"/>
      <c r="F227" s="557" t="s">
        <v>6</v>
      </c>
      <c r="G227" s="557"/>
      <c r="H227" s="557"/>
      <c r="I227" s="263"/>
      <c r="J227" s="562" t="s">
        <v>233</v>
      </c>
      <c r="K227" s="562"/>
      <c r="L227" s="562"/>
      <c r="M227" s="263"/>
      <c r="N227" s="395" t="s">
        <v>21</v>
      </c>
      <c r="O227" s="499"/>
      <c r="P227" s="437"/>
      <c r="Q227" s="244"/>
      <c r="R227" s="447"/>
      <c r="S227" s="53"/>
      <c r="T227" s="53"/>
    </row>
    <row r="228" spans="1:24" ht="11.45" customHeight="1">
      <c r="A228" s="262"/>
      <c r="B228" s="270"/>
      <c r="C228" s="263"/>
      <c r="D228" s="263"/>
      <c r="E228" s="263"/>
      <c r="F228" s="558" t="s">
        <v>232</v>
      </c>
      <c r="G228" s="558"/>
      <c r="H228" s="558"/>
      <c r="I228" s="263"/>
      <c r="J228" s="556" t="s">
        <v>232</v>
      </c>
      <c r="K228" s="556"/>
      <c r="L228" s="556"/>
      <c r="M228" s="263"/>
      <c r="N228" s="393" t="s">
        <v>1</v>
      </c>
      <c r="O228" s="500"/>
      <c r="P228" s="437"/>
      <c r="Q228" s="244"/>
      <c r="R228" s="447"/>
      <c r="S228" s="53"/>
      <c r="T228" s="53"/>
    </row>
    <row r="229" spans="1:24" ht="11.45" customHeight="1">
      <c r="A229" s="279" t="s">
        <v>0</v>
      </c>
      <c r="B229" s="279"/>
      <c r="C229" s="183"/>
      <c r="D229" s="280"/>
      <c r="E229" s="183"/>
      <c r="F229" s="292">
        <v>2016</v>
      </c>
      <c r="G229" s="229"/>
      <c r="H229" s="230">
        <v>2015</v>
      </c>
      <c r="I229" s="183"/>
      <c r="J229" s="407">
        <v>2016</v>
      </c>
      <c r="K229" s="225"/>
      <c r="L229" s="407">
        <v>2015</v>
      </c>
      <c r="M229" s="183"/>
      <c r="N229" s="230">
        <v>2015</v>
      </c>
      <c r="O229" s="229"/>
      <c r="P229" s="450"/>
      <c r="Q229" s="281"/>
      <c r="R229" s="281"/>
      <c r="S229" s="53"/>
      <c r="T229" s="53"/>
    </row>
    <row r="230" spans="1:24" ht="11.45" customHeight="1">
      <c r="A230" s="179" t="s">
        <v>30</v>
      </c>
      <c r="B230" s="188"/>
      <c r="C230" s="279"/>
      <c r="D230" s="282"/>
      <c r="E230" s="279"/>
      <c r="F230" s="399">
        <v>-0.12</v>
      </c>
      <c r="G230" s="372"/>
      <c r="H230" s="284">
        <v>-0.51</v>
      </c>
      <c r="I230" s="373"/>
      <c r="J230" s="399">
        <f>-0.46+F230</f>
        <v>-0.58000000000000007</v>
      </c>
      <c r="K230" s="373"/>
      <c r="L230" s="284">
        <v>-0.9</v>
      </c>
      <c r="M230" s="373"/>
      <c r="N230" s="284">
        <v>-2.4300000000000002</v>
      </c>
      <c r="O230" s="283"/>
      <c r="P230" s="476"/>
      <c r="Q230" s="281"/>
      <c r="R230" s="281"/>
      <c r="S230" s="53"/>
      <c r="T230" s="53"/>
    </row>
    <row r="231" spans="1:24" ht="11.45" customHeight="1">
      <c r="A231" s="285" t="s">
        <v>108</v>
      </c>
      <c r="B231" s="285"/>
      <c r="C231" s="286"/>
      <c r="D231" s="285"/>
      <c r="E231" s="159"/>
      <c r="F231" s="287">
        <v>-0.12</v>
      </c>
      <c r="G231" s="357"/>
      <c r="H231" s="287">
        <v>-0.51</v>
      </c>
      <c r="I231" s="359"/>
      <c r="J231" s="287">
        <f>-0.46+F231</f>
        <v>-0.58000000000000007</v>
      </c>
      <c r="K231" s="359"/>
      <c r="L231" s="287">
        <v>-0.9</v>
      </c>
      <c r="M231" s="359"/>
      <c r="N231" s="287">
        <v>-2.42</v>
      </c>
      <c r="O231" s="158"/>
      <c r="P231" s="476"/>
      <c r="Q231" s="288"/>
      <c r="R231" s="288"/>
      <c r="S231" s="53"/>
      <c r="T231" s="53"/>
    </row>
    <row r="232" spans="1:24" ht="11.45" customHeight="1">
      <c r="A232" s="289" t="s">
        <v>43</v>
      </c>
      <c r="B232" s="212"/>
      <c r="C232" s="290"/>
      <c r="D232" s="197"/>
      <c r="E232" s="290"/>
      <c r="F232" s="295">
        <v>238880255</v>
      </c>
      <c r="G232" s="296"/>
      <c r="H232" s="281">
        <v>214609428</v>
      </c>
      <c r="I232" s="296"/>
      <c r="J232" s="295">
        <v>238481536</v>
      </c>
      <c r="K232" s="290"/>
      <c r="L232" s="281">
        <v>214334130</v>
      </c>
      <c r="M232" s="290"/>
      <c r="N232" s="281">
        <v>217310643</v>
      </c>
      <c r="O232" s="296"/>
      <c r="P232" s="281"/>
      <c r="Q232" s="477"/>
      <c r="R232" s="477"/>
      <c r="S232" s="53"/>
      <c r="T232" s="53"/>
    </row>
    <row r="233" spans="1:24" ht="11.45" customHeight="1">
      <c r="A233" s="289" t="s">
        <v>109</v>
      </c>
      <c r="B233" s="212"/>
      <c r="C233" s="290"/>
      <c r="D233" s="197"/>
      <c r="E233" s="290"/>
      <c r="F233" s="295">
        <v>239048569</v>
      </c>
      <c r="G233" s="296"/>
      <c r="H233" s="281">
        <v>215187380</v>
      </c>
      <c r="I233" s="296"/>
      <c r="J233" s="295">
        <v>239298678</v>
      </c>
      <c r="K233" s="290"/>
      <c r="L233" s="281">
        <v>215284233</v>
      </c>
      <c r="M233" s="290"/>
      <c r="N233" s="281">
        <v>218441710</v>
      </c>
      <c r="O233" s="296"/>
      <c r="P233" s="281"/>
      <c r="Q233" s="477"/>
      <c r="R233" s="477"/>
      <c r="S233" s="53"/>
      <c r="T233" s="53"/>
    </row>
    <row r="234" spans="1:24" ht="11.45" customHeight="1">
      <c r="A234" s="289"/>
      <c r="B234" s="212"/>
      <c r="C234" s="290"/>
      <c r="D234" s="197"/>
      <c r="E234" s="290"/>
      <c r="F234" s="295"/>
      <c r="G234" s="296"/>
      <c r="H234" s="281"/>
      <c r="I234" s="290"/>
      <c r="J234" s="290"/>
      <c r="K234" s="290"/>
      <c r="L234" s="290"/>
      <c r="M234" s="290"/>
      <c r="N234" s="281"/>
      <c r="O234" s="296"/>
      <c r="P234" s="281"/>
      <c r="Q234" s="477"/>
      <c r="R234" s="477"/>
      <c r="S234" s="53"/>
      <c r="T234" s="53"/>
    </row>
    <row r="235" spans="1:24" ht="11.45" customHeight="1">
      <c r="A235" s="289"/>
      <c r="B235" s="212"/>
      <c r="C235" s="290"/>
      <c r="D235" s="197"/>
      <c r="E235" s="290"/>
      <c r="F235" s="295"/>
      <c r="G235" s="296"/>
      <c r="H235" s="281"/>
      <c r="I235" s="290"/>
      <c r="J235" s="290"/>
      <c r="K235" s="290"/>
      <c r="L235" s="290"/>
      <c r="M235" s="290"/>
      <c r="N235" s="281"/>
      <c r="O235" s="296"/>
      <c r="P235" s="281"/>
      <c r="Q235" s="477"/>
      <c r="R235" s="477"/>
      <c r="S235" s="53"/>
      <c r="T235" s="53"/>
    </row>
    <row r="236" spans="1:24" s="45" customFormat="1" ht="15" customHeight="1">
      <c r="A236" s="220" t="s">
        <v>225</v>
      </c>
      <c r="B236" s="223"/>
      <c r="C236" s="223"/>
      <c r="D236" s="223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2"/>
      <c r="P236" s="222"/>
      <c r="Q236" s="458"/>
      <c r="R236" s="459"/>
      <c r="S236" s="460"/>
      <c r="T236" s="460"/>
      <c r="U236" s="84"/>
      <c r="V236" s="84"/>
      <c r="W236" s="83"/>
    </row>
    <row r="237" spans="1:24" ht="11.45" customHeight="1">
      <c r="A237" s="289"/>
      <c r="B237" s="212"/>
      <c r="C237" s="290"/>
      <c r="D237" s="197"/>
      <c r="E237" s="290"/>
      <c r="F237" s="295"/>
      <c r="G237" s="296"/>
      <c r="H237" s="281"/>
      <c r="I237" s="290"/>
      <c r="J237" s="290"/>
      <c r="K237" s="290"/>
      <c r="L237" s="290"/>
      <c r="M237" s="290"/>
      <c r="N237" s="281"/>
      <c r="O237" s="296"/>
      <c r="P237" s="281"/>
      <c r="Q237" s="477"/>
      <c r="R237" s="477"/>
      <c r="S237" s="53"/>
      <c r="T237" s="53"/>
    </row>
    <row r="238" spans="1:24" s="45" customFormat="1" ht="11.45" customHeight="1" thickBot="1">
      <c r="A238" s="224" t="s">
        <v>226</v>
      </c>
      <c r="B238" s="224"/>
      <c r="C238" s="224"/>
      <c r="D238" s="268"/>
      <c r="E238" s="255"/>
      <c r="F238" s="255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  <c r="Q238" s="250"/>
      <c r="R238" s="254"/>
      <c r="S238" s="63"/>
      <c r="T238" s="474"/>
      <c r="U238" s="73"/>
      <c r="V238" s="73"/>
      <c r="W238" s="73"/>
      <c r="X238" s="64"/>
    </row>
    <row r="239" spans="1:24" s="80" customFormat="1" ht="11.45" customHeight="1">
      <c r="A239" s="225"/>
      <c r="B239" s="225"/>
      <c r="C239" s="225"/>
      <c r="D239" s="225"/>
      <c r="E239" s="225"/>
      <c r="F239" s="557" t="s">
        <v>6</v>
      </c>
      <c r="G239" s="557"/>
      <c r="H239" s="557"/>
      <c r="I239" s="225"/>
      <c r="J239" s="562" t="s">
        <v>233</v>
      </c>
      <c r="K239" s="562"/>
      <c r="L239" s="562"/>
      <c r="M239" s="225"/>
      <c r="N239" s="395" t="s">
        <v>21</v>
      </c>
      <c r="O239" s="499"/>
      <c r="P239" s="437"/>
      <c r="Q239" s="445"/>
      <c r="R239" s="225"/>
    </row>
    <row r="240" spans="1:24" s="80" customFormat="1" ht="11.45" customHeight="1">
      <c r="A240" s="225"/>
      <c r="B240" s="225"/>
      <c r="C240" s="225"/>
      <c r="D240" s="225"/>
      <c r="E240" s="225"/>
      <c r="F240" s="558" t="s">
        <v>232</v>
      </c>
      <c r="G240" s="558"/>
      <c r="H240" s="558"/>
      <c r="I240" s="225"/>
      <c r="J240" s="556" t="s">
        <v>232</v>
      </c>
      <c r="K240" s="556"/>
      <c r="L240" s="556"/>
      <c r="M240" s="225"/>
      <c r="N240" s="393" t="s">
        <v>1</v>
      </c>
      <c r="O240" s="500"/>
      <c r="P240" s="437"/>
      <c r="Q240" s="445"/>
      <c r="R240" s="225"/>
    </row>
    <row r="241" spans="1:20" ht="11.45" customHeight="1">
      <c r="A241" s="241" t="s">
        <v>106</v>
      </c>
      <c r="B241" s="146"/>
      <c r="C241" s="146"/>
      <c r="D241" s="146"/>
      <c r="E241" s="143"/>
      <c r="F241" s="292">
        <v>2016</v>
      </c>
      <c r="G241" s="229"/>
      <c r="H241" s="230">
        <v>2015</v>
      </c>
      <c r="I241" s="143"/>
      <c r="J241" s="407">
        <v>2016</v>
      </c>
      <c r="K241" s="225"/>
      <c r="L241" s="407">
        <v>2015</v>
      </c>
      <c r="M241" s="143"/>
      <c r="N241" s="230">
        <v>2015</v>
      </c>
      <c r="O241" s="229"/>
      <c r="P241" s="450"/>
      <c r="Q241" s="245" t="s">
        <v>0</v>
      </c>
      <c r="R241" s="245"/>
      <c r="S241" s="478"/>
      <c r="T241" s="53"/>
    </row>
    <row r="242" spans="1:20" ht="11.45" customHeight="1">
      <c r="A242" s="256"/>
      <c r="B242" s="256"/>
      <c r="C242" s="256"/>
      <c r="D242" s="256"/>
      <c r="E242" s="143"/>
      <c r="F242" s="169"/>
      <c r="G242" s="169"/>
      <c r="H242" s="169"/>
      <c r="I242" s="143"/>
      <c r="J242" s="143"/>
      <c r="K242" s="143"/>
      <c r="L242" s="143"/>
      <c r="M242" s="143"/>
      <c r="N242" s="169"/>
      <c r="O242" s="169"/>
      <c r="P242" s="169"/>
      <c r="Q242" s="169"/>
      <c r="R242" s="169"/>
      <c r="S242" s="140"/>
      <c r="T242" s="53"/>
    </row>
    <row r="243" spans="1:20" ht="11.45" customHeight="1">
      <c r="A243" s="143"/>
      <c r="B243" s="143" t="s">
        <v>165</v>
      </c>
      <c r="C243" s="143"/>
      <c r="D243" s="143"/>
      <c r="E243" s="143"/>
      <c r="F243" s="158">
        <v>-44.1</v>
      </c>
      <c r="G243" s="269"/>
      <c r="H243" s="158">
        <v>2</v>
      </c>
      <c r="I243" s="274"/>
      <c r="J243" s="158">
        <f>-11.5+F243</f>
        <v>-55.6</v>
      </c>
      <c r="K243" s="274"/>
      <c r="L243" s="158">
        <v>-1</v>
      </c>
      <c r="M243" s="274"/>
      <c r="N243" s="158">
        <v>3</v>
      </c>
      <c r="O243" s="237"/>
      <c r="P243" s="237"/>
      <c r="Q243" s="237"/>
      <c r="R243" s="237"/>
      <c r="S243" s="140"/>
      <c r="T243" s="53"/>
    </row>
    <row r="244" spans="1:20" ht="11.45" customHeight="1">
      <c r="A244" s="143"/>
      <c r="B244" s="199" t="s">
        <v>166</v>
      </c>
      <c r="C244" s="270"/>
      <c r="D244" s="270"/>
      <c r="E244" s="143"/>
      <c r="F244" s="158">
        <v>7.4</v>
      </c>
      <c r="G244" s="271"/>
      <c r="H244" s="158">
        <v>-0.4</v>
      </c>
      <c r="I244" s="274"/>
      <c r="J244" s="158">
        <f>2.1+F244</f>
        <v>9.5</v>
      </c>
      <c r="K244" s="274"/>
      <c r="L244" s="274">
        <v>0.2</v>
      </c>
      <c r="M244" s="274"/>
      <c r="N244" s="158">
        <v>-1.7</v>
      </c>
      <c r="O244" s="238"/>
      <c r="P244" s="238"/>
      <c r="Q244" s="238"/>
      <c r="R244" s="238"/>
      <c r="S244" s="140"/>
      <c r="T244" s="53"/>
    </row>
    <row r="245" spans="1:20" s="62" customFormat="1" ht="11.45" customHeight="1">
      <c r="A245" s="145"/>
      <c r="B245" s="297" t="s">
        <v>134</v>
      </c>
      <c r="C245" s="145"/>
      <c r="D245" s="145"/>
      <c r="E245" s="298"/>
      <c r="F245" s="160">
        <f>SUM(F243:F244)</f>
        <v>-36.700000000000003</v>
      </c>
      <c r="G245" s="375"/>
      <c r="H245" s="160">
        <f>SUM(H243:H244)</f>
        <v>1.6</v>
      </c>
      <c r="I245" s="376"/>
      <c r="J245" s="410">
        <f>SUM(J243:J244)</f>
        <v>-46.1</v>
      </c>
      <c r="K245" s="376"/>
      <c r="L245" s="410">
        <f>SUM(L243:L244)</f>
        <v>-0.8</v>
      </c>
      <c r="M245" s="376"/>
      <c r="N245" s="160">
        <f>SUM(N243:N244)</f>
        <v>1.3</v>
      </c>
      <c r="O245" s="272"/>
      <c r="P245" s="239"/>
      <c r="Q245" s="272"/>
      <c r="R245" s="239"/>
      <c r="S245" s="475"/>
      <c r="T245" s="453"/>
    </row>
    <row r="246" spans="1:20" ht="11.45" customHeight="1">
      <c r="A246" s="273"/>
      <c r="B246" s="205" t="s">
        <v>167</v>
      </c>
      <c r="C246" s="168"/>
      <c r="D246" s="168"/>
      <c r="E246" s="219"/>
      <c r="F246" s="158"/>
      <c r="G246" s="377"/>
      <c r="H246" s="357"/>
      <c r="I246" s="360"/>
      <c r="J246" s="360"/>
      <c r="K246" s="360"/>
      <c r="L246" s="360"/>
      <c r="M246" s="360"/>
      <c r="N246" s="158"/>
      <c r="O246" s="294"/>
      <c r="P246" s="479"/>
      <c r="Q246" s="294"/>
      <c r="R246" s="480"/>
      <c r="S246" s="140"/>
      <c r="T246" s="53"/>
    </row>
    <row r="247" spans="1:20" ht="11.45" customHeight="1">
      <c r="A247" s="143" t="s">
        <v>0</v>
      </c>
      <c r="B247" s="200" t="s">
        <v>158</v>
      </c>
      <c r="C247" s="168"/>
      <c r="D247" s="168"/>
      <c r="E247" s="143"/>
      <c r="F247" s="158">
        <v>1</v>
      </c>
      <c r="G247" s="274"/>
      <c r="H247" s="357">
        <v>0</v>
      </c>
      <c r="I247" s="274"/>
      <c r="J247" s="158">
        <f>1.5+F247</f>
        <v>2.5</v>
      </c>
      <c r="K247" s="274"/>
      <c r="L247" s="158">
        <v>0</v>
      </c>
      <c r="M247" s="274"/>
      <c r="N247" s="158">
        <v>-1.1000000000000001</v>
      </c>
      <c r="O247" s="143"/>
      <c r="P247" s="447"/>
      <c r="Q247" s="143"/>
      <c r="R247" s="143"/>
      <c r="S247" s="140"/>
      <c r="T247" s="53"/>
    </row>
    <row r="248" spans="1:20" ht="11.45" customHeight="1">
      <c r="A248" s="143"/>
      <c r="B248" s="270" t="s">
        <v>171</v>
      </c>
      <c r="C248" s="143"/>
      <c r="D248" s="143"/>
      <c r="E248" s="143"/>
      <c r="F248" s="158">
        <v>-0.1</v>
      </c>
      <c r="G248" s="269"/>
      <c r="H248" s="357">
        <v>0</v>
      </c>
      <c r="I248" s="274"/>
      <c r="J248" s="158">
        <f>0+F248</f>
        <v>-0.1</v>
      </c>
      <c r="K248" s="274"/>
      <c r="L248" s="158">
        <v>0</v>
      </c>
      <c r="M248" s="274"/>
      <c r="N248" s="158">
        <v>0</v>
      </c>
      <c r="O248" s="237"/>
      <c r="P248" s="237"/>
      <c r="Q248" s="237"/>
      <c r="R248" s="236"/>
      <c r="S248" s="140"/>
      <c r="T248" s="53"/>
    </row>
    <row r="249" spans="1:20" ht="11.45" hidden="1" customHeight="1">
      <c r="A249" s="143"/>
      <c r="B249" s="199" t="s">
        <v>168</v>
      </c>
      <c r="C249" s="270"/>
      <c r="D249" s="270"/>
      <c r="E249" s="143"/>
      <c r="F249" s="158">
        <v>0</v>
      </c>
      <c r="G249" s="271"/>
      <c r="H249" s="357">
        <v>0</v>
      </c>
      <c r="I249" s="274"/>
      <c r="J249" s="158">
        <v>0</v>
      </c>
      <c r="K249" s="274"/>
      <c r="L249" s="158">
        <v>0</v>
      </c>
      <c r="M249" s="274"/>
      <c r="N249" s="158">
        <v>0</v>
      </c>
      <c r="O249" s="238"/>
      <c r="P249" s="238"/>
      <c r="Q249" s="238"/>
      <c r="R249" s="244"/>
      <c r="S249" s="140"/>
      <c r="T249" s="53"/>
    </row>
    <row r="250" spans="1:20" ht="11.45" customHeight="1">
      <c r="A250" s="262"/>
      <c r="B250" s="481" t="s">
        <v>227</v>
      </c>
      <c r="C250" s="263"/>
      <c r="D250" s="263"/>
      <c r="E250" s="263"/>
      <c r="F250" s="158"/>
      <c r="G250" s="357"/>
      <c r="H250" s="158" t="s">
        <v>0</v>
      </c>
      <c r="I250" s="380"/>
      <c r="J250" s="158" t="s">
        <v>0</v>
      </c>
      <c r="K250" s="380"/>
      <c r="L250" s="158" t="s">
        <v>0</v>
      </c>
      <c r="M250" s="380"/>
      <c r="N250" s="158" t="s">
        <v>0</v>
      </c>
      <c r="O250" s="158"/>
      <c r="P250" s="158"/>
      <c r="Q250" s="244"/>
      <c r="R250" s="447"/>
      <c r="S250" s="53"/>
      <c r="T250" s="53"/>
    </row>
    <row r="251" spans="1:20" ht="11.45" customHeight="1">
      <c r="A251" s="262"/>
      <c r="B251" s="200" t="s">
        <v>158</v>
      </c>
      <c r="C251" s="263"/>
      <c r="D251" s="263"/>
      <c r="E251" s="263"/>
      <c r="F251" s="158">
        <v>-1</v>
      </c>
      <c r="G251" s="357"/>
      <c r="H251" s="158">
        <v>0</v>
      </c>
      <c r="I251" s="380"/>
      <c r="J251" s="158">
        <f>0.6+F251</f>
        <v>-0.4</v>
      </c>
      <c r="K251" s="380"/>
      <c r="L251" s="158">
        <v>0</v>
      </c>
      <c r="M251" s="380"/>
      <c r="N251" s="158">
        <v>0</v>
      </c>
      <c r="O251" s="158"/>
      <c r="P251" s="158"/>
      <c r="Q251" s="244"/>
      <c r="R251" s="447"/>
      <c r="S251" s="53"/>
      <c r="T251" s="53"/>
    </row>
    <row r="252" spans="1:20" ht="11.45" customHeight="1">
      <c r="A252" s="262"/>
      <c r="B252" s="270" t="s">
        <v>171</v>
      </c>
      <c r="C252" s="263"/>
      <c r="D252" s="263"/>
      <c r="E252" s="263"/>
      <c r="F252" s="158">
        <v>-0.3</v>
      </c>
      <c r="G252" s="357"/>
      <c r="H252" s="158">
        <v>0</v>
      </c>
      <c r="I252" s="380"/>
      <c r="J252" s="158">
        <f>F252</f>
        <v>-0.3</v>
      </c>
      <c r="K252" s="380"/>
      <c r="L252" s="158">
        <v>0</v>
      </c>
      <c r="M252" s="380"/>
      <c r="N252" s="158">
        <v>0</v>
      </c>
      <c r="O252" s="158"/>
      <c r="P252" s="158"/>
      <c r="Q252" s="244"/>
      <c r="R252" s="447"/>
      <c r="S252" s="53"/>
      <c r="T252" s="53"/>
    </row>
    <row r="253" spans="1:20" ht="11.45" customHeight="1">
      <c r="A253" s="275"/>
      <c r="B253" s="312" t="s">
        <v>169</v>
      </c>
      <c r="C253" s="265"/>
      <c r="D253" s="265"/>
      <c r="E253" s="265"/>
      <c r="F253" s="158">
        <v>0.2</v>
      </c>
      <c r="G253" s="378"/>
      <c r="H253" s="158">
        <v>0</v>
      </c>
      <c r="I253" s="379"/>
      <c r="J253" s="158">
        <f>-0.8+F253</f>
        <v>-0.60000000000000009</v>
      </c>
      <c r="K253" s="379"/>
      <c r="L253" s="158">
        <v>1</v>
      </c>
      <c r="M253" s="379"/>
      <c r="N253" s="158">
        <v>-0.8</v>
      </c>
      <c r="O253" s="250"/>
      <c r="P253" s="244"/>
      <c r="Q253" s="244"/>
      <c r="R253" s="447"/>
      <c r="S253" s="53"/>
      <c r="T253" s="53"/>
    </row>
    <row r="254" spans="1:20" ht="11.45" customHeight="1">
      <c r="A254" s="262"/>
      <c r="B254" s="205" t="s">
        <v>170</v>
      </c>
      <c r="C254" s="263"/>
      <c r="D254" s="263"/>
      <c r="E254" s="263"/>
      <c r="F254" s="158">
        <v>0</v>
      </c>
      <c r="G254" s="357"/>
      <c r="H254" s="158">
        <v>-0.3</v>
      </c>
      <c r="I254" s="380"/>
      <c r="J254" s="158">
        <f>0+F254</f>
        <v>0</v>
      </c>
      <c r="K254" s="380"/>
      <c r="L254" s="158">
        <v>-0.6</v>
      </c>
      <c r="M254" s="380"/>
      <c r="N254" s="158">
        <v>-0.5</v>
      </c>
      <c r="O254" s="158"/>
      <c r="P254" s="158"/>
      <c r="Q254" s="244"/>
      <c r="R254" s="447"/>
      <c r="S254" s="53"/>
      <c r="T254" s="53"/>
    </row>
    <row r="255" spans="1:20" s="62" customFormat="1" ht="11.45" customHeight="1">
      <c r="A255" s="145"/>
      <c r="B255" s="297" t="s">
        <v>172</v>
      </c>
      <c r="C255" s="145"/>
      <c r="D255" s="145"/>
      <c r="E255" s="298"/>
      <c r="F255" s="160">
        <f>SUM(F247:F254)</f>
        <v>-0.19999999999999996</v>
      </c>
      <c r="G255" s="272"/>
      <c r="H255" s="160">
        <f>SUM(H247:H254)</f>
        <v>-0.3</v>
      </c>
      <c r="I255" s="298"/>
      <c r="J255" s="411">
        <f>SUM(J247:J254)</f>
        <v>1.0999999999999999</v>
      </c>
      <c r="K255" s="298"/>
      <c r="L255" s="145">
        <f>SUM(L247:L254)</f>
        <v>0.4</v>
      </c>
      <c r="M255" s="298"/>
      <c r="N255" s="160">
        <f>SUM(N247:N254)</f>
        <v>-2.4000000000000004</v>
      </c>
      <c r="O255" s="272"/>
      <c r="P255" s="239"/>
      <c r="Q255" s="272"/>
      <c r="R255" s="239"/>
      <c r="S255" s="475"/>
      <c r="T255" s="453"/>
    </row>
    <row r="256" spans="1:20" ht="11.1" customHeight="1">
      <c r="A256" s="142"/>
      <c r="B256" s="199"/>
      <c r="C256" s="142"/>
      <c r="D256" s="142"/>
      <c r="E256" s="143"/>
      <c r="F256" s="157"/>
      <c r="G256" s="272"/>
      <c r="H256" s="159"/>
      <c r="I256" s="143"/>
      <c r="J256" s="143"/>
      <c r="K256" s="143"/>
      <c r="L256" s="143"/>
      <c r="M256" s="143"/>
      <c r="N256" s="272"/>
      <c r="O256" s="159"/>
      <c r="P256" s="239"/>
      <c r="Q256" s="272"/>
      <c r="R256" s="239"/>
      <c r="S256" s="140"/>
      <c r="T256" s="53"/>
    </row>
    <row r="257" spans="1:20" ht="15">
      <c r="A257" s="289"/>
      <c r="B257" s="212"/>
      <c r="C257" s="290"/>
      <c r="D257" s="197"/>
      <c r="E257" s="290"/>
      <c r="F257" s="281"/>
      <c r="G257" s="290"/>
      <c r="H257" s="281"/>
      <c r="I257" s="290"/>
      <c r="J257" s="290"/>
      <c r="K257" s="290"/>
      <c r="L257" s="290"/>
      <c r="M257" s="290"/>
      <c r="N257" s="290"/>
      <c r="O257" s="281"/>
      <c r="P257" s="281"/>
      <c r="Q257" s="477"/>
      <c r="R257" s="477"/>
      <c r="S257" s="53"/>
      <c r="T257" s="53"/>
    </row>
    <row r="258" spans="1:20" ht="18.75">
      <c r="A258" s="220" t="s">
        <v>251</v>
      </c>
      <c r="B258" s="223"/>
      <c r="C258" s="486"/>
      <c r="D258" s="486"/>
      <c r="E258" s="486"/>
      <c r="F258" s="486"/>
      <c r="G258" s="486"/>
      <c r="H258" s="486"/>
      <c r="I258" s="486"/>
      <c r="J258" s="290"/>
      <c r="K258" s="290"/>
      <c r="L258" s="290"/>
      <c r="M258" s="290"/>
      <c r="N258" s="290"/>
      <c r="O258" s="281"/>
      <c r="P258" s="389"/>
      <c r="Q258" s="291"/>
      <c r="R258" s="291"/>
    </row>
    <row r="259" spans="1:20" ht="15.75" thickBot="1">
      <c r="A259" s="224"/>
      <c r="B259" s="224"/>
      <c r="C259" s="224"/>
      <c r="D259" s="268"/>
      <c r="E259" s="255"/>
      <c r="F259" s="25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0"/>
      <c r="R259" s="291"/>
    </row>
    <row r="260" spans="1:20" s="80" customFormat="1" ht="11.45" customHeight="1">
      <c r="A260" s="225"/>
      <c r="B260" s="225"/>
      <c r="C260" s="225"/>
      <c r="D260" s="225"/>
      <c r="E260" s="225"/>
      <c r="F260" s="557" t="s">
        <v>6</v>
      </c>
      <c r="G260" s="557"/>
      <c r="H260" s="557"/>
      <c r="I260" s="225"/>
      <c r="J260" s="562" t="s">
        <v>233</v>
      </c>
      <c r="K260" s="562"/>
      <c r="L260" s="562"/>
      <c r="M260" s="225"/>
      <c r="N260" s="538" t="s">
        <v>21</v>
      </c>
      <c r="O260" s="538"/>
      <c r="P260" s="437"/>
      <c r="Q260" s="445"/>
      <c r="R260" s="225"/>
    </row>
    <row r="261" spans="1:20" s="80" customFormat="1" ht="11.45" customHeight="1">
      <c r="A261" s="225"/>
      <c r="B261" s="225"/>
      <c r="C261" s="225"/>
      <c r="D261" s="225"/>
      <c r="E261" s="225"/>
      <c r="F261" s="558" t="s">
        <v>232</v>
      </c>
      <c r="G261" s="558"/>
      <c r="H261" s="558"/>
      <c r="I261" s="225"/>
      <c r="J261" s="556" t="s">
        <v>232</v>
      </c>
      <c r="K261" s="556"/>
      <c r="L261" s="556"/>
      <c r="M261" s="225"/>
      <c r="N261" s="539" t="s">
        <v>1</v>
      </c>
      <c r="O261" s="539"/>
      <c r="P261" s="437"/>
      <c r="Q261" s="445"/>
      <c r="R261" s="225"/>
    </row>
    <row r="262" spans="1:20" ht="11.45" customHeight="1">
      <c r="A262" s="241" t="s">
        <v>106</v>
      </c>
      <c r="B262" s="146"/>
      <c r="C262" s="146"/>
      <c r="D262" s="146"/>
      <c r="E262" s="143"/>
      <c r="F262" s="292">
        <v>2016</v>
      </c>
      <c r="G262" s="229"/>
      <c r="H262" s="230">
        <v>2015</v>
      </c>
      <c r="I262" s="143"/>
      <c r="J262" s="407">
        <v>2016</v>
      </c>
      <c r="K262" s="225"/>
      <c r="L262" s="407">
        <v>2015</v>
      </c>
      <c r="M262" s="143"/>
      <c r="N262" s="230">
        <v>2015</v>
      </c>
      <c r="O262" s="229"/>
      <c r="P262" s="450"/>
      <c r="Q262" s="245"/>
      <c r="R262" s="245"/>
      <c r="S262" s="478"/>
      <c r="T262" s="53"/>
    </row>
    <row r="263" spans="1:20" s="544" customFormat="1" ht="12" customHeight="1">
      <c r="A263" s="540"/>
      <c r="B263" s="495" t="s">
        <v>252</v>
      </c>
      <c r="C263" s="490"/>
      <c r="D263" s="492"/>
      <c r="E263" s="490">
        <v>16.7</v>
      </c>
      <c r="F263" s="497">
        <f>+'IS &amp; OCI'!F16</f>
        <v>-11.477499999999964</v>
      </c>
      <c r="G263" s="497">
        <v>-67.900000000000006</v>
      </c>
      <c r="H263" s="498">
        <v>-62.7</v>
      </c>
      <c r="I263" s="498">
        <f t="shared" ref="I263:I266" si="1">F263-G263+H263</f>
        <v>-6.2774999999999608</v>
      </c>
      <c r="J263" s="498">
        <f>+'IS &amp; OCI'!J16</f>
        <v>-87.777500000000032</v>
      </c>
      <c r="K263" s="498">
        <v>-67.900000000000006</v>
      </c>
      <c r="L263" s="498">
        <v>-97.5</v>
      </c>
      <c r="M263" s="498"/>
      <c r="N263" s="498">
        <v>-430.4</v>
      </c>
      <c r="O263" s="541"/>
      <c r="P263" s="542"/>
      <c r="Q263" s="543"/>
      <c r="R263" s="543"/>
    </row>
    <row r="264" spans="1:20" s="544" customFormat="1" ht="11.25" customHeight="1">
      <c r="B264" s="545" t="s">
        <v>250</v>
      </c>
      <c r="C264" s="490"/>
      <c r="D264" s="492"/>
      <c r="E264" s="490">
        <v>-0.7</v>
      </c>
      <c r="F264" s="490">
        <f>'IS &amp; OCI'!F14</f>
        <v>-3.085</v>
      </c>
      <c r="G264" s="490">
        <v>7.4</v>
      </c>
      <c r="H264" s="491">
        <v>6.5</v>
      </c>
      <c r="I264" s="491">
        <f t="shared" si="1"/>
        <v>-3.9849999999999994</v>
      </c>
      <c r="J264" s="491">
        <f>+'IS &amp; OCI'!J14</f>
        <v>2.5149999999999997</v>
      </c>
      <c r="K264" s="491">
        <v>7.4</v>
      </c>
      <c r="L264" s="491">
        <v>13.9</v>
      </c>
      <c r="M264" s="491"/>
      <c r="N264" s="491">
        <v>49</v>
      </c>
      <c r="P264" s="546"/>
      <c r="Q264" s="547"/>
      <c r="R264" s="548"/>
    </row>
    <row r="265" spans="1:20" s="544" customFormat="1" ht="11.25" customHeight="1">
      <c r="B265" s="545" t="s">
        <v>191</v>
      </c>
      <c r="C265" s="490"/>
      <c r="D265" s="492"/>
      <c r="E265" s="490">
        <v>73.8</v>
      </c>
      <c r="F265" s="490">
        <f>+'IS &amp; OCI'!F13</f>
        <v>9.1765000000000008</v>
      </c>
      <c r="G265" s="490">
        <v>56.9</v>
      </c>
      <c r="H265" s="491">
        <f>65.3+0.03</f>
        <v>65.33</v>
      </c>
      <c r="I265" s="491">
        <f t="shared" si="1"/>
        <v>17.606499999999997</v>
      </c>
      <c r="J265" s="491">
        <f>+'IS &amp; OCI'!J13</f>
        <v>13.3765</v>
      </c>
      <c r="K265" s="491">
        <v>56.9</v>
      </c>
      <c r="L265" s="491">
        <f>122.3+0.03</f>
        <v>122.33</v>
      </c>
      <c r="M265" s="491"/>
      <c r="N265" s="491">
        <f>397.2+0.03</f>
        <v>397.22999999999996</v>
      </c>
      <c r="P265" s="546"/>
      <c r="Q265" s="547"/>
      <c r="R265" s="548"/>
    </row>
    <row r="266" spans="1:20" s="544" customFormat="1" ht="11.25" customHeight="1">
      <c r="B266" s="545" t="s">
        <v>5</v>
      </c>
      <c r="C266" s="490"/>
      <c r="D266" s="492"/>
      <c r="E266" s="492">
        <v>525.4</v>
      </c>
      <c r="F266" s="492">
        <f>+'IS &amp; OCI'!F12</f>
        <v>118.121</v>
      </c>
      <c r="G266" s="492">
        <v>223.1</v>
      </c>
      <c r="H266" s="491">
        <f>106.1+0.03</f>
        <v>106.13</v>
      </c>
      <c r="I266" s="491">
        <f t="shared" si="1"/>
        <v>1.1509999999999962</v>
      </c>
      <c r="J266" s="491">
        <f>+'IS &amp; OCI'!J12</f>
        <v>332.12100000000004</v>
      </c>
      <c r="K266" s="491">
        <v>223.1</v>
      </c>
      <c r="L266" s="491">
        <f>329.2+0.03</f>
        <v>329.22999999999996</v>
      </c>
      <c r="M266" s="491"/>
      <c r="N266" s="491">
        <f>468.5+0.03</f>
        <v>468.53</v>
      </c>
      <c r="P266" s="546"/>
      <c r="Q266" s="547"/>
      <c r="R266" s="548"/>
    </row>
    <row r="267" spans="1:20" ht="12" customHeight="1">
      <c r="A267" s="488"/>
      <c r="B267" s="489" t="s">
        <v>249</v>
      </c>
      <c r="C267" s="489"/>
      <c r="D267" s="489"/>
      <c r="E267" s="487">
        <f t="shared" ref="E267:G267" si="2">SUM(E263:E266)</f>
        <v>615.19999999999993</v>
      </c>
      <c r="F267" s="493">
        <f t="shared" si="2"/>
        <v>112.73500000000003</v>
      </c>
      <c r="G267" s="494">
        <f t="shared" si="2"/>
        <v>219.5</v>
      </c>
      <c r="H267" s="493">
        <f>SUM(H263:H266)</f>
        <v>115.25999999999999</v>
      </c>
      <c r="I267" s="495" t="s">
        <v>0</v>
      </c>
      <c r="J267" s="496">
        <f>SUM(J263:J266)</f>
        <v>260.23500000000001</v>
      </c>
      <c r="K267" s="495" t="s">
        <v>0</v>
      </c>
      <c r="L267" s="493">
        <f>SUM(L263:L266)</f>
        <v>367.96</v>
      </c>
      <c r="M267" s="495"/>
      <c r="N267" s="493">
        <f>SUM(N263:N266)</f>
        <v>484.35999999999996</v>
      </c>
    </row>
    <row r="268" spans="1:20">
      <c r="K268" s="44"/>
    </row>
  </sheetData>
  <mergeCells count="60">
    <mergeCell ref="F260:H260"/>
    <mergeCell ref="J260:L260"/>
    <mergeCell ref="F261:H261"/>
    <mergeCell ref="J261:L261"/>
    <mergeCell ref="J228:L228"/>
    <mergeCell ref="J239:L239"/>
    <mergeCell ref="J240:L240"/>
    <mergeCell ref="F239:H239"/>
    <mergeCell ref="F240:H240"/>
    <mergeCell ref="J137:L137"/>
    <mergeCell ref="J138:L138"/>
    <mergeCell ref="J168:L168"/>
    <mergeCell ref="J169:L169"/>
    <mergeCell ref="J227:L227"/>
    <mergeCell ref="J100:L100"/>
    <mergeCell ref="J112:L112"/>
    <mergeCell ref="J113:L113"/>
    <mergeCell ref="J125:L125"/>
    <mergeCell ref="J126:L126"/>
    <mergeCell ref="J6:L6"/>
    <mergeCell ref="J7:L7"/>
    <mergeCell ref="J27:L27"/>
    <mergeCell ref="J28:L28"/>
    <mergeCell ref="F99:H99"/>
    <mergeCell ref="J39:L39"/>
    <mergeCell ref="J40:L40"/>
    <mergeCell ref="J51:L51"/>
    <mergeCell ref="J52:L52"/>
    <mergeCell ref="J67:L67"/>
    <mergeCell ref="J68:L68"/>
    <mergeCell ref="J99:L99"/>
    <mergeCell ref="J82:L82"/>
    <mergeCell ref="J83:L83"/>
    <mergeCell ref="F100:H100"/>
    <mergeCell ref="F112:H112"/>
    <mergeCell ref="F6:H6"/>
    <mergeCell ref="F7:H7"/>
    <mergeCell ref="F27:H27"/>
    <mergeCell ref="F28:H28"/>
    <mergeCell ref="F68:H68"/>
    <mergeCell ref="F39:H39"/>
    <mergeCell ref="F40:H40"/>
    <mergeCell ref="F51:H51"/>
    <mergeCell ref="F52:H52"/>
    <mergeCell ref="F67:H67"/>
    <mergeCell ref="F82:H82"/>
    <mergeCell ref="F83:H83"/>
    <mergeCell ref="F126:H126"/>
    <mergeCell ref="F137:H137"/>
    <mergeCell ref="F138:H138"/>
    <mergeCell ref="F113:H113"/>
    <mergeCell ref="F125:H125"/>
    <mergeCell ref="F227:H227"/>
    <mergeCell ref="F228:H228"/>
    <mergeCell ref="F168:H168"/>
    <mergeCell ref="F169:H169"/>
    <mergeCell ref="F153:H153"/>
    <mergeCell ref="F212:H212"/>
    <mergeCell ref="F186:H186"/>
    <mergeCell ref="F201:H201"/>
  </mergeCells>
  <printOptions horizontalCentered="1"/>
  <pageMargins left="0.19685039370078741" right="0.11811023622047245" top="0.39370078740157483" bottom="0.51181102362204722" header="0.31496062992125984" footer="0.23622047244094491"/>
  <pageSetup paperSize="9" scale="67" fitToHeight="3" orientation="portrait" r:id="rId1"/>
  <headerFooter alignWithMargins="0"/>
  <rowBreaks count="2" manualBreakCount="2">
    <brk id="95" max="14" man="1"/>
    <brk id="180" max="14" man="1"/>
  </rowBreaks>
  <ignoredErrors>
    <ignoredError sqref="F162 H162 J16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sol and Ext Rep" ma:contentTypeID="0x01010055188D6E94B07B4D9A15F0291BA7324E0800517DEB065F01BE48B516C5493430EA9C" ma:contentTypeVersion="6" ma:contentTypeDescription="" ma:contentTypeScope="" ma:versionID="ab427df1b018a6b1bb8629bd22962e21">
  <xsd:schema xmlns:xsd="http://www.w3.org/2001/XMLSchema" xmlns:xs="http://www.w3.org/2001/XMLSchema" xmlns:p="http://schemas.microsoft.com/office/2006/metadata/properties" xmlns:ns2="0c51a168-f9b1-4000-a552-b6e26a8e1726" xmlns:ns3="4103f08a-e8f5-4215-a214-f51e08230946" xmlns:ns4="f4ac41ce-b2d5-4726-9417-946f8435fa6d" targetNamespace="http://schemas.microsoft.com/office/2006/metadata/properties" ma:root="true" ma:fieldsID="12f0460d231322de396fd2e2d95e8da4" ns2:_="" ns3:_="" ns4:_="">
    <xsd:import namespace="0c51a168-f9b1-4000-a552-b6e26a8e1726"/>
    <xsd:import namespace="4103f08a-e8f5-4215-a214-f51e08230946"/>
    <xsd:import namespace="f4ac41ce-b2d5-4726-9417-946f8435fa6d"/>
    <xsd:element name="properties">
      <xsd:complexType>
        <xsd:sequence>
          <xsd:element name="documentManagement">
            <xsd:complexType>
              <xsd:all>
                <xsd:element ref="ns3:KeyControl" minOccurs="0"/>
                <xsd:element ref="ns2:TaxCatchAll" minOccurs="0"/>
                <xsd:element ref="ns2:TaxCatchAllLabel" minOccurs="0"/>
                <xsd:element ref="ns2:k6b245d636cd46a7b03f10e9bce6ea8c" minOccurs="0"/>
                <xsd:element ref="ns3:ContentTypeOriginal" minOccurs="0"/>
                <xsd:element ref="ns2:GovArchiveStatus" minOccurs="0"/>
                <xsd:element ref="ns3:YearQuarter" minOccurs="0"/>
                <xsd:element ref="ns4:Consol_x0020_Ext_x0020_rep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1a168-f9b1-4000-a552-b6e26a8e172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717c789-8cb6-44fc-a762-31d4eaaf9c57}" ma:internalName="TaxCatchAll" ma:showField="CatchAllData" ma:web="4103f08a-e8f5-4215-a214-f51e0823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717c789-8cb6-44fc-a762-31d4eaaf9c57}" ma:internalName="TaxCatchAllLabel" ma:readOnly="true" ma:showField="CatchAllDataLabel" ma:web="4103f08a-e8f5-4215-a214-f51e0823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6b245d636cd46a7b03f10e9bce6ea8c" ma:index="11" nillable="true" ma:taxonomy="true" ma:internalName="k6b245d636cd46a7b03f10e9bce6ea8c" ma:taxonomyFieldName="GovLECodeName" ma:displayName="LE Code Name" ma:default="" ma:fieldId="{46b245d6-36cd-46a7-b03f-10e9bce6ea8c}" ma:sspId="69ca02a8-2a75-4699-91fa-c3d3c2947d00" ma:termSetId="9dde328e-4c78-4ae6-bbf3-1392f8531e4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ovArchiveStatus" ma:index="14" nillable="true" ma:displayName="Gov Archive Status" ma:internalName="GovArchiveStatus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3f08a-e8f5-4215-a214-f51e08230946" elementFormDefault="qualified">
    <xsd:import namespace="http://schemas.microsoft.com/office/2006/documentManagement/types"/>
    <xsd:import namespace="http://schemas.microsoft.com/office/infopath/2007/PartnerControls"/>
    <xsd:element name="KeyControl" ma:index="3" nillable="true" ma:displayName="Key Control" ma:default="(none)" ma:format="Dropdown" ma:internalName="KeyControl">
      <xsd:simpleType>
        <xsd:restriction base="dms:Choice">
          <xsd:enumeration value="(none)"/>
          <xsd:enumeration value="C CON-01a"/>
          <xsd:enumeration value="C CON-01b"/>
          <xsd:enumeration value="C CON-03"/>
          <xsd:enumeration value="C CON-07"/>
          <xsd:enumeration value="C EA-01"/>
          <xsd:enumeration value="C EA-02"/>
          <xsd:enumeration value="C EA-03"/>
          <xsd:enumeration value="C ER-01b"/>
          <xsd:enumeration value="C ER-02"/>
          <xsd:enumeration value="C ER-03"/>
          <xsd:enumeration value="C ER-04"/>
          <xsd:enumeration value="C ER-05"/>
          <xsd:enumeration value="C FA-09a"/>
          <xsd:enumeration value="C FA-09b"/>
          <xsd:enumeration value="C FA-11"/>
          <xsd:enumeration value="C IA-11"/>
          <xsd:enumeration value="C IC-01"/>
          <xsd:enumeration value="C IC-02"/>
          <xsd:enumeration value="C IC-04c"/>
          <xsd:enumeration value="C IC-09"/>
          <xsd:enumeration value="C IT-01"/>
          <xsd:enumeration value="C MC-01"/>
          <xsd:enumeration value="C MC-05a"/>
          <xsd:enumeration value="C MC-07"/>
          <xsd:enumeration value="C MC-08a"/>
          <xsd:enumeration value="C P-03"/>
          <xsd:enumeration value="C P-10a"/>
          <xsd:enumeration value="C P-12"/>
          <xsd:enumeration value="C P-13"/>
          <xsd:enumeration value="C P-21"/>
          <xsd:enumeration value="C P-25a"/>
          <xsd:enumeration value="C P-25b"/>
          <xsd:enumeration value="C P-26"/>
          <xsd:enumeration value="C P-27"/>
          <xsd:enumeration value="C P-28"/>
          <xsd:enumeration value="C PR-07"/>
          <xsd:enumeration value="C PR-09"/>
          <xsd:enumeration value="C PR-10"/>
          <xsd:enumeration value="C PR-16"/>
          <xsd:enumeration value="C PS-02"/>
          <xsd:enumeration value="C S-06"/>
          <xsd:enumeration value="C S-12a"/>
          <xsd:enumeration value="C S-13a"/>
          <xsd:enumeration value="C S-13e"/>
          <xsd:enumeration value="C S-15"/>
          <xsd:enumeration value="C S-17"/>
          <xsd:enumeration value="C S-19"/>
          <xsd:enumeration value="C S-22"/>
          <xsd:enumeration value="C S-23a"/>
          <xsd:enumeration value="C S-23c"/>
          <xsd:enumeration value="C SR-01"/>
          <xsd:enumeration value="C SR-02"/>
          <xsd:enumeration value="C SR-03"/>
          <xsd:enumeration value="C SR-05"/>
          <xsd:enumeration value="C TA-01"/>
          <xsd:enumeration value="C TA-03"/>
          <xsd:enumeration value="C TA-05"/>
          <xsd:enumeration value="C TA-07"/>
          <xsd:enumeration value="C TA-08"/>
          <xsd:enumeration value="C TR-01a"/>
          <xsd:enumeration value="C TR-02b"/>
          <xsd:enumeration value="C TR-03"/>
          <xsd:enumeration value="C TR-04"/>
          <xsd:enumeration value="C TR-06"/>
          <xsd:enumeration value="C TX-2"/>
          <xsd:enumeration value="AP VAT-1"/>
          <xsd:enumeration value="AP VAT-2"/>
          <xsd:enumeration value="AP VAT-4"/>
          <xsd:enumeration value="AP VAT-5"/>
          <xsd:enumeration value="AP VAT-6"/>
          <xsd:enumeration value="AP VAT-7"/>
          <xsd:enumeration value="AP-01"/>
          <xsd:enumeration value="AP-02"/>
          <xsd:enumeration value="AP-03"/>
          <xsd:enumeration value="AP-04"/>
          <xsd:enumeration value="AP-05"/>
          <xsd:enumeration value="AP-06"/>
          <xsd:enumeration value="AP-GLR PRSpore-01"/>
          <xsd:enumeration value="AP-GLR-01"/>
          <xsd:enumeration value="AP-GLR-02"/>
          <xsd:enumeration value="AP-GLR-03"/>
          <xsd:enumeration value="AP-GLR-05"/>
          <xsd:enumeration value="AP-GLR-08"/>
          <xsd:enumeration value="AP-GLR-09"/>
          <xsd:enumeration value="AP-GLR-10"/>
          <xsd:enumeration value="AP-GLR-11"/>
          <xsd:enumeration value="AP-GLR-12"/>
          <xsd:enumeration value="AP-GLR-15"/>
          <xsd:enumeration value="AP-GLR-16"/>
          <xsd:enumeration value="AP-GLR-17"/>
          <xsd:enumeration value="AP-GLR-18"/>
          <xsd:enumeration value="AP-GLR-19"/>
          <xsd:enumeration value="AP-GLR-20"/>
          <xsd:enumeration value="AP-GLR-21"/>
          <xsd:enumeration value="AP-GLR-22"/>
          <xsd:enumeration value="AP-GLR-23"/>
          <xsd:enumeration value="AP-GLR-25"/>
          <xsd:enumeration value="AP-GLR-26"/>
          <xsd:enumeration value="AP-GLR-30"/>
          <xsd:enumeration value="AP-GLR-31"/>
          <xsd:enumeration value="AP-GLR-32"/>
          <xsd:enumeration value="AP-GLR-33"/>
          <xsd:enumeration value="AP-GLR-36"/>
          <xsd:enumeration value="AP-GLR-37"/>
          <xsd:enumeration value="Cash-01"/>
          <xsd:enumeration value="Cash-03"/>
          <xsd:enumeration value="Cash-04"/>
          <xsd:enumeration value="Cash-05"/>
          <xsd:enumeration value="Cash-06"/>
          <xsd:enumeration value="Cash-07"/>
          <xsd:enumeration value="Cash-08"/>
          <xsd:enumeration value="Cash-09"/>
          <xsd:enumeration value="Cash-10"/>
          <xsd:enumeration value="Cost-01"/>
          <xsd:enumeration value="Cost-06"/>
          <xsd:enumeration value="Cost-07"/>
          <xsd:enumeration value="Cost-08"/>
          <xsd:enumeration value="Cost-09"/>
          <xsd:enumeration value="Cost-10"/>
          <xsd:enumeration value="Cost-11"/>
          <xsd:enumeration value="Cost-12"/>
          <xsd:enumeration value="Cost-13"/>
          <xsd:enumeration value="Cost-15"/>
          <xsd:enumeration value="Cost-16"/>
          <xsd:enumeration value="Cost-17"/>
          <xsd:enumeration value="Cost-19"/>
          <xsd:enumeration value="Cost-21"/>
          <xsd:enumeration value="Cost-22"/>
          <xsd:enumeration value="Cost-23"/>
          <xsd:enumeration value="Cost-24"/>
          <xsd:enumeration value="Cost-25"/>
          <xsd:enumeration value="Cost-26"/>
          <xsd:enumeration value="Cost-27"/>
          <xsd:enumeration value="Cost-28"/>
          <xsd:enumeration value="Cost-29"/>
          <xsd:enumeration value="Cost-30"/>
          <xsd:enumeration value="DEV-01"/>
          <xsd:enumeration value="DEV-02"/>
          <xsd:enumeration value="DTPRGR 16"/>
          <xsd:enumeration value="DTPRGR 21"/>
          <xsd:enumeration value="DTPRGR 26"/>
          <xsd:enumeration value="DTPRGR 28"/>
          <xsd:enumeration value="DTPRGR 31"/>
          <xsd:enumeration value="DTPRGR 35"/>
          <xsd:enumeration value="DTPRGR 37"/>
          <xsd:enumeration value="DTPRGR 40"/>
          <xsd:enumeration value="DTPRGR 49"/>
          <xsd:enumeration value="DTPRGR 50"/>
          <xsd:enumeration value="DTPRGR 51"/>
          <xsd:enumeration value="DTPRGR 55"/>
          <xsd:enumeration value="DTPRGR 61"/>
          <xsd:enumeration value="DTPRGR 62"/>
          <xsd:enumeration value="DTPRGR 67"/>
          <xsd:enumeration value="DTPRGR 75"/>
          <xsd:enumeration value="DTPRGR 76"/>
          <xsd:enumeration value="DTPRGR 77"/>
          <xsd:enumeration value="DTPRGR 78"/>
          <xsd:enumeration value="DTPRGR 79"/>
          <xsd:enumeration value="DTPRGR 80"/>
          <xsd:enumeration value="DTPRGR 81"/>
          <xsd:enumeration value="DTPRGR 82"/>
          <xsd:enumeration value="EAME-GLR-01"/>
          <xsd:enumeration value="EAME-GLR-02"/>
          <xsd:enumeration value="EAME-GLR-03"/>
          <xsd:enumeration value="EAME-GLR-05"/>
          <xsd:enumeration value="EAME-GLR-08"/>
          <xsd:enumeration value="EAME-GLR-09"/>
          <xsd:enumeration value="EAME-GLR-10"/>
          <xsd:enumeration value="EAME-GLR-11"/>
          <xsd:enumeration value="EAME-GLR-12"/>
          <xsd:enumeration value="EAME-GLR-15"/>
          <xsd:enumeration value="EAME-GLR-16"/>
          <xsd:enumeration value="EAME-GLR-17"/>
          <xsd:enumeration value="EAME-GLR-18"/>
          <xsd:enumeration value="EAME-GLR-20"/>
          <xsd:enumeration value="EAME-GLR-21"/>
          <xsd:enumeration value="EAME-GLR-22"/>
          <xsd:enumeration value="EAME-GLR-23"/>
          <xsd:enumeration value="EAME-GLR-25"/>
          <xsd:enumeration value="EAME-GLR-26"/>
          <xsd:enumeration value="EAME-GLR-30"/>
          <xsd:enumeration value="EAME-GLR-31"/>
          <xsd:enumeration value="EAME-GLR-32"/>
          <xsd:enumeration value="EAME-GLR-36"/>
          <xsd:enumeration value="EAME-GLR-37"/>
          <xsd:enumeration value="EAME-UKVAT-01"/>
          <xsd:enumeration value="EAME-UKVAT-02"/>
          <xsd:enumeration value="EAME-UKVAT-03"/>
          <xsd:enumeration value="EAME-UKVAT-04"/>
          <xsd:enumeration value="EAME-UKVAT-05"/>
          <xsd:enumeration value="EAME-UKVAT-06"/>
          <xsd:enumeration value="ER-01"/>
          <xsd:enumeration value="ER-02"/>
          <xsd:enumeration value="ER-03"/>
          <xsd:enumeration value="ER-04"/>
          <xsd:enumeration value="ER-05"/>
          <xsd:enumeration value="FA-02"/>
          <xsd:enumeration value="FA-03"/>
          <xsd:enumeration value="FA-04"/>
          <xsd:enumeration value="FA-05"/>
          <xsd:enumeration value="FA-06"/>
          <xsd:enumeration value="FA-07"/>
          <xsd:enumeration value="FA-08"/>
          <xsd:enumeration value="FA-09"/>
          <xsd:enumeration value="FA-10"/>
          <xsd:enumeration value="FA-11"/>
          <xsd:enumeration value="FA-12"/>
          <xsd:enumeration value="FA-13"/>
          <xsd:enumeration value="FA-14"/>
          <xsd:enumeration value="FA-15"/>
          <xsd:enumeration value="FA-16"/>
          <xsd:enumeration value="FA-17"/>
          <xsd:enumeration value="FA-18"/>
          <xsd:enumeration value="GA-01"/>
          <xsd:enumeration value="GA-02"/>
          <xsd:enumeration value="GA-03"/>
          <xsd:enumeration value="GA-04"/>
          <xsd:enumeration value="GA-05"/>
          <xsd:enumeration value="GA-06"/>
          <xsd:enumeration value="GA-10"/>
          <xsd:enumeration value="GA-11"/>
          <xsd:enumeration value="GA-12"/>
          <xsd:enumeration value="GA-20"/>
          <xsd:enumeration value="GA-21"/>
          <xsd:enumeration value="GA-22"/>
          <xsd:enumeration value="GA-30"/>
          <xsd:enumeration value="GA-31"/>
          <xsd:enumeration value="GA-40"/>
          <xsd:enumeration value="GA-41"/>
          <xsd:enumeration value="GA-42"/>
          <xsd:enumeration value="GA-43"/>
          <xsd:enumeration value="GC-02"/>
          <xsd:enumeration value="GC-03"/>
          <xsd:enumeration value="GC-04"/>
          <xsd:enumeration value="GC-05"/>
          <xsd:enumeration value="GC-06"/>
          <xsd:enumeration value="GC-08"/>
          <xsd:enumeration value="GC-10"/>
          <xsd:enumeration value="GC-14"/>
          <xsd:enumeration value="GC-15"/>
          <xsd:enumeration value="GC-17"/>
          <xsd:enumeration value="GLR-07"/>
          <xsd:enumeration value="GLR-16"/>
          <xsd:enumeration value="GLR-34"/>
          <xsd:enumeration value="Hou-GLR-01"/>
          <xsd:enumeration value="Hou-GLR-02"/>
          <xsd:enumeration value="Hou-GLR-03"/>
          <xsd:enumeration value="Hou-GLR-05"/>
          <xsd:enumeration value="Hou-GLR-07"/>
          <xsd:enumeration value="Hou-GLR-08"/>
          <xsd:enumeration value="Hou-GLR-09"/>
          <xsd:enumeration value="Hou-GLR-10"/>
          <xsd:enumeration value="Hou-GLR-11"/>
          <xsd:enumeration value="Hou-GLR-12"/>
          <xsd:enumeration value="Hou-GLR-14"/>
          <xsd:enumeration value="Hou-GLR-15"/>
          <xsd:enumeration value="Hou-GLR-16"/>
          <xsd:enumeration value="Hou-GLR-17"/>
          <xsd:enumeration value="Hou-GLR-18"/>
          <xsd:enumeration value="Hou-GLR-20"/>
          <xsd:enumeration value="Hou-GLR-21"/>
          <xsd:enumeration value="Hou-GLR-22"/>
          <xsd:enumeration value="Hou-GLR-23"/>
          <xsd:enumeration value="Hou-GLR-25"/>
          <xsd:enumeration value="Hou-GLR-26"/>
          <xsd:enumeration value="Hou-GLR-30"/>
          <xsd:enumeration value="Hou-GLR-31"/>
          <xsd:enumeration value="Hou-GLR-32"/>
          <xsd:enumeration value="Hou-GLR-33"/>
          <xsd:enumeration value="Hou-GLR-36"/>
          <xsd:enumeration value="Hou-GLR-37"/>
          <xsd:enumeration value="IA-01"/>
          <xsd:enumeration value="IA-02"/>
          <xsd:enumeration value="IA-03"/>
          <xsd:enumeration value="IA-04"/>
          <xsd:enumeration value="IA-05"/>
          <xsd:enumeration value="IA-06"/>
          <xsd:enumeration value="IA-07"/>
          <xsd:enumeration value="IA-08"/>
          <xsd:enumeration value="IA-09"/>
          <xsd:enumeration value="IA-10"/>
          <xsd:enumeration value="IA-10"/>
          <xsd:enumeration value="IA-13"/>
          <xsd:enumeration value="IA-15"/>
          <xsd:enumeration value="IA-16"/>
          <xsd:enumeration value="IA-17"/>
          <xsd:enumeration value="IA-19"/>
          <xsd:enumeration value="INV-01"/>
          <xsd:enumeration value="INV-02"/>
          <xsd:enumeration value="INV-03"/>
          <xsd:enumeration value="INV-04"/>
          <xsd:enumeration value="INV-05"/>
          <xsd:enumeration value="INV-06"/>
          <xsd:enumeration value="INV-07"/>
          <xsd:enumeration value="INV-08"/>
          <xsd:enumeration value="MC-01"/>
          <xsd:enumeration value="MC-03"/>
          <xsd:enumeration value="MC-04"/>
          <xsd:enumeration value="MC-05"/>
          <xsd:enumeration value="MC-06"/>
          <xsd:enumeration value="MC-08"/>
          <xsd:enumeration value="MC-09"/>
          <xsd:enumeration value="MC-10"/>
          <xsd:enumeration value="MC-11"/>
          <xsd:enumeration value="MC-12"/>
          <xsd:enumeration value="MC-13"/>
          <xsd:enumeration value="MC-14"/>
          <xsd:enumeration value="MC-15"/>
          <xsd:enumeration value="MC-16"/>
          <xsd:enumeration value="MC-17"/>
          <xsd:enumeration value="MC-18"/>
          <xsd:enumeration value="MC-19"/>
          <xsd:enumeration value="MC-22"/>
          <xsd:enumeration value="MC-23"/>
          <xsd:enumeration value="MC-25"/>
          <xsd:enumeration value="MC-26"/>
          <xsd:enumeration value="MC-27"/>
          <xsd:enumeration value="MC-29"/>
          <xsd:enumeration value="MC-31"/>
          <xsd:enumeration value="PA-01"/>
          <xsd:enumeration value="PA-02"/>
          <xsd:enumeration value="PA-03"/>
          <xsd:enumeration value="Rev-01"/>
          <xsd:enumeration value="Rev-02"/>
          <xsd:enumeration value="Rev-03"/>
          <xsd:enumeration value="Rev-04"/>
          <xsd:enumeration value="Rev-05"/>
          <xsd:enumeration value="Rev-06"/>
          <xsd:enumeration value="Rev-07"/>
          <xsd:enumeration value="Rev-08"/>
          <xsd:enumeration value="Rev-09"/>
          <xsd:enumeration value="Rev-10"/>
          <xsd:enumeration value="Rev-11"/>
          <xsd:enumeration value="Rev-12"/>
          <xsd:enumeration value="Rev-13"/>
          <xsd:enumeration value="Rev-14"/>
          <xsd:enumeration value="Rev-15"/>
          <xsd:enumeration value="Rev-16"/>
          <xsd:enumeration value="Rev-17"/>
          <xsd:enumeration value="Rev-18"/>
          <xsd:enumeration value="Rev-19"/>
          <xsd:enumeration value="Rev-20"/>
          <xsd:enumeration value="Rev-21"/>
          <xsd:enumeration value="Rev-22"/>
          <xsd:enumeration value="Rev-24"/>
          <xsd:enumeration value="Rev-25"/>
          <xsd:enumeration value="ST-01"/>
          <xsd:enumeration value="ST-02"/>
          <xsd:enumeration value="ST-03"/>
          <xsd:enumeration value="Tax Acc-01"/>
          <xsd:enumeration value="Tax Acc-02"/>
          <xsd:enumeration value="Tax Acc-03"/>
          <xsd:enumeration value="Tax Acc-04"/>
          <xsd:enumeration value="Tax Acc-05"/>
          <xsd:enumeration value="Tech-01"/>
          <xsd:enumeration value="Tech-02"/>
          <xsd:enumeration value="Tech-03"/>
          <xsd:enumeration value="Tech-04"/>
          <xsd:enumeration value="Tech-16"/>
          <xsd:enumeration value="Tech-18"/>
        </xsd:restriction>
      </xsd:simpleType>
    </xsd:element>
    <xsd:element name="ContentTypeOriginal" ma:index="13" nillable="true" ma:displayName="ContentTypeOriginal" ma:format="Dropdown" ma:internalName="ContentTypeOriginal">
      <xsd:simpleType>
        <xsd:restriction base="dms:Choice">
          <xsd:enumeration value="Accounting Issue List"/>
          <xsd:enumeration value="Accounting Issue Memo"/>
          <xsd:enumeration value="Audit Committee"/>
          <xsd:enumeration value="Earnings Release"/>
          <xsd:enumeration value="ER Supporting Documents"/>
          <xsd:enumeration value="Group Calculation and Reconciliation"/>
          <xsd:enumeration value="Q-Pack 2 A Equity"/>
          <xsd:enumeration value="Q-Pack 2 B Cash Flow Information"/>
          <xsd:enumeration value="Q-Pack 4 Minimum Operational Lease Commmitments"/>
          <xsd:enumeration value="Q-Pack 5 A Subsequent Review BC  Checked"/>
          <xsd:enumeration value="Q-Pack Report Overview"/>
          <xsd:enumeration value="Reval"/>
          <xsd:enumeration value="Segment Reports"/>
          <xsd:enumeration value="Group EPS"/>
        </xsd:restriction>
      </xsd:simpleType>
    </xsd:element>
    <xsd:element name="YearQuarter" ma:index="15" nillable="true" ma:displayName="Year Quarter" ma:format="Dropdown" ma:internalName="YearQuarter">
      <xsd:simpleType>
        <xsd:restriction base="dms:Choice">
          <xsd:enumeration value="2016 Q1"/>
          <xsd:enumeration value="2016 Q2"/>
          <xsd:enumeration value="2016 Q3"/>
          <xsd:enumeration value="2016 Q4"/>
          <xsd:enumeration value="2017 Q1"/>
          <xsd:enumeration value="2017 Q2"/>
          <xsd:enumeration value="2017 Q3"/>
          <xsd:enumeration value="2017 Q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c41ce-b2d5-4726-9417-946f8435fa6d" elementFormDefault="qualified">
    <xsd:import namespace="http://schemas.microsoft.com/office/2006/documentManagement/types"/>
    <xsd:import namespace="http://schemas.microsoft.com/office/infopath/2007/PartnerControls"/>
    <xsd:element name="Consol_x0020_Ext_x0020_rep_x0020_status" ma:index="16" nillable="true" ma:displayName="Consol Ext rep status" ma:format="Dropdown" ma:internalName="Consol_x0020_Ext_x0020_rep_x0020_status">
      <xsd:simpleType>
        <xsd:restriction base="dms:Choice">
          <xsd:enumeration value="In progress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0c51a168-f9b1-4000-a552-b6e26a8e1726">
      <Value>13</Value>
    </TaxCatchAll>
    <KeyControl xmlns="4103f08a-e8f5-4215-a214-f51e08230946">(none)</KeyControl>
    <ContentTypeOriginal xmlns="4103f08a-e8f5-4215-a214-f51e08230946">Earnings Release</ContentTypeOriginal>
    <GovArchiveStatus xmlns="0c51a168-f9b1-4000-a552-b6e26a8e1726" xsi:nil="true"/>
    <k6b245d636cd46a7b03f10e9bce6ea8c xmlns="0c51a168-f9b1-4000-a552-b6e26a8e1726">
      <Terms xmlns="http://schemas.microsoft.com/office/infopath/2007/PartnerControls">
        <TermInfo xmlns="http://schemas.microsoft.com/office/infopath/2007/PartnerControls">
          <TermName>Financial Information</TermName>
          <TermId>d2246aff-850a-4851-9da0-77e915fead5e</TermId>
        </TermInfo>
      </Terms>
    </k6b245d636cd46a7b03f10e9bce6ea8c>
    <YearQuarter xmlns="4103f08a-e8f5-4215-a214-f51e08230946">2016 Q3</YearQuarter>
    <Consol_x0020_Ext_x0020_rep_x0020_status xmlns="f4ac41ce-b2d5-4726-9417-946f8435fa6d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A3CE9E-1A82-4668-9C94-52079F36D7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51a168-f9b1-4000-a552-b6e26a8e1726"/>
    <ds:schemaRef ds:uri="4103f08a-e8f5-4215-a214-f51e08230946"/>
    <ds:schemaRef ds:uri="f4ac41ce-b2d5-4726-9417-946f8435f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45D089-5F7E-4BD1-810E-21FFCF820613}">
  <ds:schemaRefs>
    <ds:schemaRef ds:uri="http://schemas.microsoft.com/office/2006/metadata/properties"/>
    <ds:schemaRef ds:uri="4103f08a-e8f5-4215-a214-f51e08230946"/>
    <ds:schemaRef ds:uri="http://www.w3.org/XML/1998/namespace"/>
    <ds:schemaRef ds:uri="f4ac41ce-b2d5-4726-9417-946f8435fa6d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0c51a168-f9b1-4000-a552-b6e26a8e172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D61D80-790F-4CBC-A8F3-BDA96093E39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9645ECF-3664-409E-AEDF-3967171679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IS &amp; OCI</vt:lpstr>
      <vt:lpstr>BS</vt:lpstr>
      <vt:lpstr>CF</vt:lpstr>
      <vt:lpstr>Equity</vt:lpstr>
      <vt:lpstr>Notes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Q3 2016 Earnings release financials tables</dc:title>
  <dc:creator>Vidar Gulliksen</dc:creator>
  <cp:lastModifiedBy>Bard Stenberg</cp:lastModifiedBy>
  <cp:lastPrinted>2016-10-16T11:12:59Z</cp:lastPrinted>
  <dcterms:created xsi:type="dcterms:W3CDTF">1997-04-22T19:06:36Z</dcterms:created>
  <dcterms:modified xsi:type="dcterms:W3CDTF">2016-10-26T21:03:43Z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0x01010055188D6E94B07B4D9A15F0291BA7324E0800517DEB065F01BE48B516C5493430EA9C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Archived">
    <vt:filetime>2011-05-05T05:10:58Z</vt:filetime>
  </property>
  <property fmtid="{D5CDD505-2E9C-101B-9397-08002B2CF9AE}" pid="11" name="ArchivedBy">
    <vt:lpwstr>263</vt:lpwstr>
  </property>
  <property fmtid="{D5CDD505-2E9C-101B-9397-08002B2CF9AE}" pid="12" name="ManGroupCodePeopleSoft">
    <vt:lpwstr>532</vt:lpwstr>
  </property>
  <property fmtid="{D5CDD505-2E9C-101B-9397-08002B2CF9AE}" pid="13" name="Supporting document">
    <vt:lpwstr>No</vt:lpwstr>
  </property>
  <property fmtid="{D5CDD505-2E9C-101B-9397-08002B2CF9AE}" pid="14" name="ArchiveStatus">
    <vt:lpwstr/>
  </property>
  <property fmtid="{D5CDD505-2E9C-101B-9397-08002B2CF9AE}" pid="15" name="ContetTypeOrginal">
    <vt:lpwstr>Earnings Release</vt:lpwstr>
  </property>
  <property fmtid="{D5CDD505-2E9C-101B-9397-08002B2CF9AE}" pid="16" name="CreatedByInFARO">
    <vt:lpwstr>Elke Heintzberger</vt:lpwstr>
  </property>
  <property fmtid="{D5CDD505-2E9C-101B-9397-08002B2CF9AE}" pid="17" name="SiteNameForDocument">
    <vt:lpwstr>Consolidation and External Reporting</vt:lpwstr>
  </property>
  <property fmtid="{D5CDD505-2E9C-101B-9397-08002B2CF9AE}" pid="18" name="WorkflowCreationPath">
    <vt:lpwstr>9ddecae9-647e-4647-8894-551073beb87c,6;9ddecae9-647e-4647-8894-551073beb87c,6;9ddecae9-647e-4647-8894-551073beb87c,6;9ddecae9-647e-4647-8894-551073beb87c,6;9ddecae9-647e-4647-8894-551073beb87c,6;23bd39fb-4e40-4d39-abb4-3b289b444fd2,2;23bd39fb-4e40-4d39-ab</vt:lpwstr>
  </property>
  <property fmtid="{D5CDD505-2E9C-101B-9397-08002B2CF9AE}" pid="19" name="ApprovedByInFARO">
    <vt:lpwstr>Vidar.Hasund@pgs.com</vt:lpwstr>
  </property>
  <property fmtid="{D5CDD505-2E9C-101B-9397-08002B2CF9AE}" pid="20" name="_dlc_policyId">
    <vt:lpwstr>0x0101001BA8192A63AC2947BE19EEE885D49368|-2145755995</vt:lpwstr>
  </property>
  <property fmtid="{D5CDD505-2E9C-101B-9397-08002B2CF9AE}" pid="21" name="ItemRetentionFormula">
    <vt:lpwstr/>
  </property>
  <property fmtid="{D5CDD505-2E9C-101B-9397-08002B2CF9AE}" pid="22" name="CopyOfBU">
    <vt:lpwstr/>
  </property>
  <property fmtid="{D5CDD505-2E9C-101B-9397-08002B2CF9AE}" pid="23" name="_dlc_LastRun">
    <vt:lpwstr>09/19/2015 23:34:26</vt:lpwstr>
  </property>
  <property fmtid="{D5CDD505-2E9C-101B-9397-08002B2CF9AE}" pid="24" name="BUTxt">
    <vt:lpwstr>All BUs</vt:lpwstr>
  </property>
  <property fmtid="{D5CDD505-2E9C-101B-9397-08002B2CF9AE}" pid="25" name="AccountNumberTxt">
    <vt:lpwstr/>
  </property>
  <property fmtid="{D5CDD505-2E9C-101B-9397-08002B2CF9AE}" pid="26" name="WorkflowChangePath">
    <vt:lpwstr>f2c5fd41-cb11-41d6-8dab-aa88d6afa477,248;f2c5fd41-cb11-41d6-8dab-aa88d6afa477,248;f2c5fd41-cb11-41d6-8dab-aa88d6afa477,248;f2c5fd41-cb11-41d6-8dab-aa88d6afa477,248;f2c5fd41-cb11-41d6-8dab-aa88d6afa477,248;f2c5fd41-cb11-41d6-8dab-aa88d6afa477,248;f2c5fd41-</vt:lpwstr>
  </property>
  <property fmtid="{D5CDD505-2E9C-101B-9397-08002B2CF9AE}" pid="27" name="BUNew">
    <vt:lpwstr>557;#</vt:lpwstr>
  </property>
  <property fmtid="{D5CDD505-2E9C-101B-9397-08002B2CF9AE}" pid="28" name="GovLECodeName">
    <vt:lpwstr>13;#Financial Information|d2246aff-850a-4851-9da0-77e915fead5e</vt:lpwstr>
  </property>
  <property fmtid="{D5CDD505-2E9C-101B-9397-08002B2CF9AE}" pid="29" name="_dlc_ItemStageId">
    <vt:lpwstr>1</vt:lpwstr>
  </property>
  <property fmtid="{D5CDD505-2E9C-101B-9397-08002B2CF9AE}" pid="30" name="SV_QUERY_LIST_4F35BF76-6C0D-4D9B-82B2-816C12CF3733">
    <vt:lpwstr>empty_477D106A-C0D6-4607-AEBD-E2C9D60EA279</vt:lpwstr>
  </property>
  <property fmtid="{D5CDD505-2E9C-101B-9397-08002B2CF9AE}" pid="31" name="k3e548813fe040acb5b9e37f5bdc1d80">
    <vt:lpwstr>Financial Information|d2246aff-850a-4851-9da0-77e915fead5e</vt:lpwstr>
  </property>
  <property fmtid="{D5CDD505-2E9C-101B-9397-08002B2CF9AE}" pid="32" name="Order">
    <vt:r8>250300</vt:r8>
  </property>
  <property fmtid="{D5CDD505-2E9C-101B-9397-08002B2CF9AE}" pid="33" name="xd_ProgID">
    <vt:lpwstr/>
  </property>
  <property fmtid="{D5CDD505-2E9C-101B-9397-08002B2CF9AE}" pid="34" name="TemplateUrl">
    <vt:lpwstr/>
  </property>
</Properties>
</file>