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15" yWindow="15" windowWidth="14355" windowHeight="14460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'Sheet1'!$A$1:$Q$393</definedName>
  </definedNames>
  <calcPr fullCalcOnLoad="1"/>
</workbook>
</file>

<file path=xl/sharedStrings.xml><?xml version="1.0" encoding="utf-8"?>
<sst xmlns="http://schemas.openxmlformats.org/spreadsheetml/2006/main" count="450" uniqueCount="269">
  <si>
    <t xml:space="preserve">     Total</t>
  </si>
  <si>
    <t xml:space="preserve">     - Contract seismic</t>
  </si>
  <si>
    <t xml:space="preserve">     - Other</t>
  </si>
  <si>
    <t>(b)</t>
  </si>
  <si>
    <t>(a)</t>
  </si>
  <si>
    <t>(In thousands of dollars)</t>
  </si>
  <si>
    <t>December 31,</t>
  </si>
  <si>
    <t xml:space="preserve"> </t>
  </si>
  <si>
    <t>Quarter ended</t>
  </si>
  <si>
    <t xml:space="preserve">Gross depreciation </t>
  </si>
  <si>
    <t>Additional</t>
  </si>
  <si>
    <t>Shareholders'</t>
  </si>
  <si>
    <t>capital</t>
  </si>
  <si>
    <t>equity</t>
  </si>
  <si>
    <t>(c)</t>
  </si>
  <si>
    <t>Depreciation and amortization consists of the following for the periods presented:</t>
  </si>
  <si>
    <t>Interest expense consists of the following for the periods presented:</t>
  </si>
  <si>
    <t>Interest expense, gross</t>
  </si>
  <si>
    <t>Accumulated</t>
  </si>
  <si>
    <t>(deficit)</t>
  </si>
  <si>
    <t>paid-in</t>
  </si>
  <si>
    <t>Cash and cash equivalents</t>
  </si>
  <si>
    <t>Reconciliation of net interest bearing debt:</t>
  </si>
  <si>
    <t>Short-term debt and current portion of long-term debt</t>
  </si>
  <si>
    <t>Capital lease obligations (current and long-term)</t>
  </si>
  <si>
    <t>Restricted cash (current and long-term)</t>
  </si>
  <si>
    <t>Completed during 2005</t>
  </si>
  <si>
    <t xml:space="preserve">     Completed surveys</t>
  </si>
  <si>
    <t>Completed during 2006</t>
  </si>
  <si>
    <t>Surveys in progress</t>
  </si>
  <si>
    <t xml:space="preserve">Other  </t>
  </si>
  <si>
    <t>Capitalized interest, construction in progress</t>
  </si>
  <si>
    <t>Marine:</t>
  </si>
  <si>
    <t>Marine</t>
  </si>
  <si>
    <t>earnings</t>
  </si>
  <si>
    <t>Capitalized interest, multi-client library</t>
  </si>
  <si>
    <t>Year ended</t>
  </si>
  <si>
    <t>Completed during 2007</t>
  </si>
  <si>
    <t>shares</t>
  </si>
  <si>
    <t>Cumulative</t>
  </si>
  <si>
    <t>translation</t>
  </si>
  <si>
    <t>other reserves</t>
  </si>
  <si>
    <t>adjustm. and</t>
  </si>
  <si>
    <t>Minority</t>
  </si>
  <si>
    <t>Employee share options</t>
  </si>
  <si>
    <t>Common</t>
  </si>
  <si>
    <t>stock</t>
  </si>
  <si>
    <t>par value</t>
  </si>
  <si>
    <t>See Depreciation and amortization above.</t>
  </si>
  <si>
    <t>Capital expenditures (cash) were as follows for the periods presented:</t>
  </si>
  <si>
    <t xml:space="preserve">Long-term debt </t>
  </si>
  <si>
    <t>Adjust for deferred loan costs (offset in long-term debt)</t>
  </si>
  <si>
    <t>Marine revenues by service type:</t>
  </si>
  <si>
    <t>Other:</t>
  </si>
  <si>
    <t xml:space="preserve">Resarch and development costs, net of capitalized portion were as follows for the periods presented: </t>
  </si>
  <si>
    <t>Research and development costs, gross</t>
  </si>
  <si>
    <t>Capitalized development costs</t>
  </si>
  <si>
    <t>Completed during 2008</t>
  </si>
  <si>
    <t>Other</t>
  </si>
  <si>
    <t>Dividends to minority interests</t>
  </si>
  <si>
    <t>interests</t>
  </si>
  <si>
    <t>Other operating income</t>
  </si>
  <si>
    <t>Note 1 - General</t>
  </si>
  <si>
    <t xml:space="preserve">The Company is a Norwegian limited liability company and has prepared its consolidated financial statements in accordance with International Financial Reporting </t>
  </si>
  <si>
    <t>Standards ("IFRS") as adopted by the EU. The consolidated interim financial statements have been prepared in accordance with International Accounting Standards</t>
  </si>
  <si>
    <r>
      <t>("IAS") No. 34 "</t>
    </r>
    <r>
      <rPr>
        <i/>
        <sz val="10"/>
        <rFont val="Times New Roman"/>
        <family val="1"/>
      </rPr>
      <t xml:space="preserve">Interim Financial Reporting". </t>
    </r>
  </si>
  <si>
    <t>Note 2 - Basis of presentation</t>
  </si>
  <si>
    <t>Note 4 - Segment information</t>
  </si>
  <si>
    <t>Revenues by operating segment and service type for the periods presented:</t>
  </si>
  <si>
    <t xml:space="preserve">December 31, </t>
  </si>
  <si>
    <t xml:space="preserve">     - MultiClient pre-funding</t>
  </si>
  <si>
    <t xml:space="preserve">     - MultiClient late sales</t>
  </si>
  <si>
    <t xml:space="preserve">     - Data Processing</t>
  </si>
  <si>
    <t xml:space="preserve">     Marine revenues</t>
  </si>
  <si>
    <t>Operating profit (loss)/EBIT by operating segment for the periods presented:</t>
  </si>
  <si>
    <t>Impairments of long-lived assets</t>
  </si>
  <si>
    <t>Depreciation and amortization (a)</t>
  </si>
  <si>
    <t>Amortization of MultiClient library (a)</t>
  </si>
  <si>
    <t xml:space="preserve">     Operating profit/EBIT, Marine</t>
  </si>
  <si>
    <t xml:space="preserve">    Operating profit (loss)/EBIT, Other</t>
  </si>
  <si>
    <t>Inter-segment eliminations:</t>
  </si>
  <si>
    <t>Total Operating profit:</t>
  </si>
  <si>
    <t>Presented separately in the Consolidated Statements of Operations.</t>
  </si>
  <si>
    <t>Gain on repurchase of convertible notes</t>
  </si>
  <si>
    <t>The net book-value of the MultiClient library by year of completion is as follows:</t>
  </si>
  <si>
    <t>Completed during 2004 and prior years</t>
  </si>
  <si>
    <t>Completed during 2009</t>
  </si>
  <si>
    <t xml:space="preserve">     MultiClient library, net</t>
  </si>
  <si>
    <t>Amortization of MultiClient library</t>
  </si>
  <si>
    <t>See Consolidated statements of cash flows.</t>
  </si>
  <si>
    <t>See Interest expense above.</t>
  </si>
  <si>
    <t>Total comprehensive income</t>
  </si>
  <si>
    <t xml:space="preserve">Transferred shares, deferred consideration </t>
  </si>
  <si>
    <t>Repurchase convertible notes</t>
  </si>
  <si>
    <t>Balance at December 31, 2008</t>
  </si>
  <si>
    <t>Reconciliation Q1 2009:</t>
  </si>
  <si>
    <t>Balance at March 31, 2009</t>
  </si>
  <si>
    <t>Balance at June 30, 2009</t>
  </si>
  <si>
    <t>Reconciliation Q2 2009:</t>
  </si>
  <si>
    <t>Note 5 - Research and development costs</t>
  </si>
  <si>
    <t>Note 6 - Depreciation and amortization</t>
  </si>
  <si>
    <t>Note 8 - Interest expense</t>
  </si>
  <si>
    <t>Note 7 - Impairments of long-lived assets</t>
  </si>
  <si>
    <t>Impairments of long-lived assets consists of the following for the periods presented:</t>
  </si>
  <si>
    <t>Property and equipment</t>
  </si>
  <si>
    <t>Other intangible assets</t>
  </si>
  <si>
    <t>Oil and gas assets (other long-lived assets)</t>
  </si>
  <si>
    <t>A reconciliation of reclassification adjustments included in the Consolidated Statements of Operations ("CSO") for all periods presented follows:</t>
  </si>
  <si>
    <t>Cash flow hedges:</t>
  </si>
  <si>
    <t>Gains (losses) arising during the period</t>
  </si>
  <si>
    <t>Cash flow hedges, net</t>
  </si>
  <si>
    <t>Impairment of shares available-for-sale</t>
  </si>
  <si>
    <t>Note 11 - MultiClient library</t>
  </si>
  <si>
    <t>Note 13 - Components of other comprehensive income</t>
  </si>
  <si>
    <t>Note 14 - Shareholders' equity</t>
  </si>
  <si>
    <t>Note 9 - Other financial income</t>
  </si>
  <si>
    <t>Gain from sale of shares</t>
  </si>
  <si>
    <t>Other financial income consists of the following for the periods presented:</t>
  </si>
  <si>
    <t>Interest income</t>
  </si>
  <si>
    <t>Treasury</t>
  </si>
  <si>
    <t>Other financial expense consists of the following for the periods presented:</t>
  </si>
  <si>
    <t>Note 10 - Other financial expense</t>
  </si>
  <si>
    <t>Transaction costs amounting to $3.4 milion are recognized against "Additional paid-in capital" net of related income tax benefits of $0.9 million.</t>
  </si>
  <si>
    <t>Transaction costs amounting to $0.7 million are recognized against "Accumulated earnings (deficit)".</t>
  </si>
  <si>
    <t xml:space="preserve">Petroleum Geo-Services ASA  </t>
  </si>
  <si>
    <t>Revaluation of shares available-for-sale:</t>
  </si>
  <si>
    <t>Revaluation of shares available-for-sale, net</t>
  </si>
  <si>
    <t>Note 15 - Net interest bearing debt</t>
  </si>
  <si>
    <t>Note 12 - Capital expenditures (cash)</t>
  </si>
  <si>
    <t>Earnings per share, to ordinary equity holders of PGS ASA, were calculated as follows:</t>
  </si>
  <si>
    <t>Net income from continuing operations</t>
  </si>
  <si>
    <t>Net income from discontinued operations</t>
  </si>
  <si>
    <t>Minority interest</t>
  </si>
  <si>
    <t>Net income to equity holders of PGS ASA</t>
  </si>
  <si>
    <t>Effect of interest on convertible notes, net of tax</t>
  </si>
  <si>
    <t>Net income for the purpose of diluted earnings per share</t>
  </si>
  <si>
    <t>- Basic</t>
  </si>
  <si>
    <t>Earnings per share from continuing operations,</t>
  </si>
  <si>
    <t xml:space="preserve"> Weighted average basic shares outstanding</t>
  </si>
  <si>
    <t xml:space="preserve"> Weighted average diluted shares outstanding</t>
  </si>
  <si>
    <t>Earnings per share:</t>
  </si>
  <si>
    <t>Reconciliation Q3 2009:</t>
  </si>
  <si>
    <t>Balance at September 30, 2009</t>
  </si>
  <si>
    <t xml:space="preserve"> Dilutive potential shares (1)</t>
  </si>
  <si>
    <t>- Diluted</t>
  </si>
  <si>
    <t xml:space="preserve">- Diluted </t>
  </si>
  <si>
    <t>Note 16 - Earnings per share</t>
  </si>
  <si>
    <t>Reconciliation Q4 2009:</t>
  </si>
  <si>
    <t>Balance at December 31, 2009</t>
  </si>
  <si>
    <t>Total revenues (continuing operation)</t>
  </si>
  <si>
    <t>Income from discontinued operations, net of tax consist of the following for the periods presented:</t>
  </si>
  <si>
    <t>Income tax (expense) benefit</t>
  </si>
  <si>
    <t>Revenues</t>
  </si>
  <si>
    <t>Depreciation and amortization</t>
  </si>
  <si>
    <t>Operating profit</t>
  </si>
  <si>
    <t>Total operating expenses</t>
  </si>
  <si>
    <t>Operating costs (a)</t>
  </si>
  <si>
    <t>(a) Operating costs include cost of sales, research and development costs, and selling, general and adminstrative costs.</t>
  </si>
  <si>
    <t>Key figures Multiclient library continuing operation:</t>
  </si>
  <si>
    <t>Financial items, net</t>
  </si>
  <si>
    <t>The consolidated interim financial statements reflects all adjustments, in the opinion of PGSs management, that are necessary for a fair presentation of the results of operations for all</t>
  </si>
  <si>
    <t>periods presented. Operating results for the quarter period is not necessary indicative of the results that may be expected for any subsequent interim period or year. The interim</t>
  </si>
  <si>
    <t>The accounting policies adopted in the preparation of the interim consolidated financial statements are consistent with those followed in the preparation of the Company’s</t>
  </si>
  <si>
    <t>surveys are categorized into four amortization categories with amortization rates of 90%, 75%, 60% or 45% of sales amounts. Each category includes surveys where the remaining</t>
  </si>
  <si>
    <t>unamortized cost as a percentage of remaining forecasted sales is less than or equal to the amortization rate applicable to each category.</t>
  </si>
  <si>
    <t>The Company also applies minimum amortization criteria for the library projects based generally on a five-year life. The Company calculates and records minimum amortization</t>
  </si>
  <si>
    <t>Total current liabilities Onshore</t>
  </si>
  <si>
    <t xml:space="preserve">Polar Pearl </t>
  </si>
  <si>
    <t>Total current assets Onshore</t>
  </si>
  <si>
    <t xml:space="preserve">     Total liabilities held-for-sale</t>
  </si>
  <si>
    <t xml:space="preserve">     Total asset held-for-sale</t>
  </si>
  <si>
    <t>Total long-term assets Onshore (a)</t>
  </si>
  <si>
    <t>Revenues by continued operations:</t>
  </si>
  <si>
    <t>The results of operations for the Onshore segment are summarized as follows:</t>
  </si>
  <si>
    <t>individual MultiClient surveys. The Company classifies these impairment charges as amortization expense in its consolidated statement of operations since this additional, non-sales</t>
  </si>
  <si>
    <t xml:space="preserve">related amortization expense, is expected to occur regularly. </t>
  </si>
  <si>
    <t>Operating profit (loss)/ EBIT from continuing operations:</t>
  </si>
  <si>
    <t xml:space="preserve">    Total Operating profit (loss)/EBIT</t>
  </si>
  <si>
    <t>Depreciation capitalized to MultiClient library</t>
  </si>
  <si>
    <t>The Company amortizes its MultiClient library primarily based on the ratio between the cost of surveys and the total forecasted sales for such surveys. In applying this method,</t>
  </si>
  <si>
    <t>individually for each MultiClient survey or pool of surveys at quarterly basis. At year-end, or when specific impairment indicators exists, the Company carry out an impairment test of</t>
  </si>
  <si>
    <t xml:space="preserve">   Total</t>
  </si>
  <si>
    <t>Note 17 - Income from discontinued operations, net of tax and assets/ liabilities held-for-sale</t>
  </si>
  <si>
    <t>Transaction costs sale of Onshore</t>
  </si>
  <si>
    <t>Asset/ liabilities held-for-sale</t>
  </si>
  <si>
    <t>Liabilities held-for-sale</t>
  </si>
  <si>
    <t>Assets held-for-sale</t>
  </si>
  <si>
    <t>Note 18 - Consolidated statements of operations by quarter 2009, Onshore presented as discontinued operation.</t>
  </si>
  <si>
    <t xml:space="preserve">Revenues </t>
  </si>
  <si>
    <t xml:space="preserve">      </t>
  </si>
  <si>
    <t xml:space="preserve">Cost of sales </t>
  </si>
  <si>
    <t xml:space="preserve">Research and development costs </t>
  </si>
  <si>
    <t xml:space="preserve">Selling, general and administrative costs </t>
  </si>
  <si>
    <t xml:space="preserve">Depreciation and amortization </t>
  </si>
  <si>
    <t>Impairment of long-lived assets</t>
  </si>
  <si>
    <t>Operating profit (loss)/EBIT</t>
  </si>
  <si>
    <t>Income/(loss) from associated companies</t>
  </si>
  <si>
    <t>Interest expense</t>
  </si>
  <si>
    <t>Other financial income</t>
  </si>
  <si>
    <t>Other financial expense</t>
  </si>
  <si>
    <t>Currency exchange gain (loss)</t>
  </si>
  <si>
    <t>Income before income tax expense (benefit)</t>
  </si>
  <si>
    <t>Income tax expense (benfit)</t>
  </si>
  <si>
    <t>Income from continuing operations</t>
  </si>
  <si>
    <t>Income (loss) from discontinued operations, net of tax</t>
  </si>
  <si>
    <t xml:space="preserve">Net income </t>
  </si>
  <si>
    <t xml:space="preserve">Net income attributable to minority interests </t>
  </si>
  <si>
    <t>Q1</t>
  </si>
  <si>
    <t>Q2</t>
  </si>
  <si>
    <t>Q3</t>
  </si>
  <si>
    <t>Q4</t>
  </si>
  <si>
    <t>Consolidated statements of operations by quarter 2009, Onshore presented as discontinued operation:</t>
  </si>
  <si>
    <t>useful information regarding PGS' ability to service debt and to fund capital expenditures and provides investors with a helpful measure for comparing its operating performance with</t>
  </si>
  <si>
    <t xml:space="preserve">that of other companies. </t>
  </si>
  <si>
    <t>Gain on investment in shares available for sale</t>
  </si>
  <si>
    <t>results for Onshore are included in discontinued operations in the consolidated statements of operations and was classified as asset held-for-sale in the consolidated statement of</t>
  </si>
  <si>
    <t xml:space="preserve">financial positions as of December 31, 2009 (see Note 17 and 18). The Notes are restated for all periods presented. </t>
  </si>
  <si>
    <t xml:space="preserve">consolidated financial statements should be read in conjunction with the audited consolidated  financial statements for the year ended December 31, 2009. </t>
  </si>
  <si>
    <t xml:space="preserve">Company's significant accounting policies. </t>
  </si>
  <si>
    <t xml:space="preserve">Note 3 - New policies and standards adopted in 2010  </t>
  </si>
  <si>
    <t>presented as held for sale.</t>
  </si>
  <si>
    <t>Balance at March 31, 2010</t>
  </si>
  <si>
    <t>Reconciliation Q1 2010:</t>
  </si>
  <si>
    <t>(a) Includes $60.5 million in MultiClient library and allocated goodwill of $35.0 million as of December 31, 2009.</t>
  </si>
  <si>
    <t>Gain on sale of Onshore</t>
  </si>
  <si>
    <t>consolidated financial statements for the year ended December 31, 2009. See Note 2 to the Consolidated Financial Statements in the 2009 Annual Report for information of the</t>
  </si>
  <si>
    <t>(1)  Certain reclassifications have been made to prior period amounts to conform to the current presentation, including restatement of Onshore to discontinued operations (see above).</t>
  </si>
  <si>
    <t xml:space="preserve">Financial information for the full year 2009 is derived from the audited financial statements as presented in the 2009 Annual Report. </t>
  </si>
  <si>
    <t>Completed during 2010</t>
  </si>
  <si>
    <t xml:space="preserve">Additional proceeds </t>
  </si>
  <si>
    <t>Less: Reclassification adjustments for losses included in the Consolidated Statement of Operations</t>
  </si>
  <si>
    <t>Less: Reclassification adjustments for (gains) included in the Consolidated Statement of Operations</t>
  </si>
  <si>
    <t>Instruction fee convertible note (includes costs)</t>
  </si>
  <si>
    <t>Share issue (17,999,999 shares) (a)</t>
  </si>
  <si>
    <t>Sale of treasury shares (b)</t>
  </si>
  <si>
    <t>Reconciliation Q2 2010:</t>
  </si>
  <si>
    <t>Amendment fees USD 950 million Credit Facilities</t>
  </si>
  <si>
    <t>Exercise, employee share options</t>
  </si>
  <si>
    <t>(1) For all the periods 8.8 million shares related to convertible notes were excluded from the calculation of dilutive earnings per share as they were</t>
  </si>
  <si>
    <t>anti-dilutive.</t>
  </si>
  <si>
    <t>segment performance. Onshore is presented as discontinued operation and is not included in the tables below.</t>
  </si>
  <si>
    <t>Fee in connection with redemption of 8.28% Notes</t>
  </si>
  <si>
    <t>Balance at June 30, 2010</t>
  </si>
  <si>
    <t>Acquired treasury shares</t>
  </si>
  <si>
    <t>Income  (loss) from discontinued operations, pretax</t>
  </si>
  <si>
    <t>Income (loss) from discontinued operations, pretax</t>
  </si>
  <si>
    <t>In December 2009 the Company entered into an agreement to sell PGS Onshore business ("Onshore") to the US-based Geokinetics. The transaction was closed February 12, 2010. The</t>
  </si>
  <si>
    <t>income, interest expense,  income (loss) from associated companies, impairments of long-lived assets and depreciation and amortization. EBITDA may not be</t>
  </si>
  <si>
    <t>September 30,</t>
  </si>
  <si>
    <t>Nine months ended</t>
  </si>
  <si>
    <t>Reconciliation Q3 2010:</t>
  </si>
  <si>
    <t>Balance at September 30, 2010</t>
  </si>
  <si>
    <t>None of the new accounting standards that came into effect on January 1, 2010 had a significant impact in the first nine months of 2010.</t>
  </si>
  <si>
    <t>Notes to the Interim Consolidated Financial Statements - Third Quarter 2010</t>
  </si>
  <si>
    <t>As of September 30, 2009 MultiClient library includes Onshore surveys for $60.1 million. As of December 31, 2009 such surveys are</t>
  </si>
  <si>
    <t>"Other" includes Corporate administration costs and unallocated Global Shared Resources costs (net). Financial items and income tax expense are not included in the measure of</t>
  </si>
  <si>
    <t xml:space="preserve">     - Other, non Marine</t>
  </si>
  <si>
    <t>MultiClient pre-funding</t>
  </si>
  <si>
    <t>MultiClient late sales</t>
  </si>
  <si>
    <t>Cash investment in MultiClient library (a)</t>
  </si>
  <si>
    <t>Capitalized interest in MultiClient library (b)</t>
  </si>
  <si>
    <t>Amortization of MultiClient library (c)</t>
  </si>
  <si>
    <t>Capitalized depreciation (non-cash) (c)</t>
  </si>
  <si>
    <t>Key figures MultiClient library for the periods presented:</t>
  </si>
  <si>
    <t>"Operating Segments", these are presented combined as Marine.</t>
  </si>
  <si>
    <t>The chief operating decision maker reviews Contract and MultiClient as separate operation segments, however, as the two operating segments meets the aggregation criteria in IFRS 8</t>
  </si>
  <si>
    <t>(2)  EBITDA, when used by the Company, means income before income tax expense (benefit) less, currency exchange gain (loss), other financial expense, other financial</t>
  </si>
  <si>
    <t>comparable to other similar titled measures from other companies. PGS has included EBITDA as a supplemental disclosure because management believes that it provides</t>
  </si>
  <si>
    <t>EBITDA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</si>
</sst>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_ ;_ @_ "/>
    <numFmt numFmtId="165" formatCode="_ &quot;kr&quot;\ * #,##0.00_ ;_ &quot;kr&quot;\ * \-#,##0.00_ ;_ &quot;kr&quot;\ * &quot;-&quot;??_ ;_ @_ "/>
    <numFmt numFmtId="166" formatCode="_ * #,##0.00_ ;_ * \-#,##0.00_ ;_ * &quot;-&quot;??_ ;_ @_ "/>
    <numFmt numFmtId="167" formatCode="_-* #,##0.00_-;\-* #,##0.00_-;_-* &quot;-&quot;??_-;_-@_-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_(* #,##0_);_(* \(#,##0\);_(* &quot;-&quot;??_);_(@_)"/>
    <numFmt numFmtId="171" formatCode="_ * #,##0_ ;_ * \(#,##0\)_ ;_ * &quot;-&quot;_ ;_ @_ "/>
    <numFmt numFmtId="172" formatCode="_(&quot;$&quot;* #,##0_);_(&quot;$&quot;* \(#,##0\);_(&quot;$&quot;* &quot;-&quot;??_);_(@_)"/>
    <numFmt numFmtId="173" formatCode="_(* #,##0_);_*\ \(#,##0\);_(* &quot;-&quot;?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sz val="14"/>
      <color indexed="12"/>
      <name val="Times New Roman"/>
      <family val="1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14"/>
      <color indexed="10"/>
      <name val="Times New Roman"/>
      <family val="1"/>
    </font>
    <font>
      <sz val="8"/>
      <color indexed="10"/>
      <name val="Times New Roman"/>
      <family val="1"/>
    </font>
    <font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168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1" fontId="2" fillId="0" borderId="0" xfId="0" applyNumberFormat="1" applyFont="1" applyAlignment="1">
      <alignment/>
    </xf>
    <xf numFmtId="168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1" fontId="2" fillId="0" borderId="11" xfId="0" applyNumberFormat="1" applyFont="1" applyBorder="1" applyAlignment="1">
      <alignment/>
    </xf>
    <xf numFmtId="41" fontId="2" fillId="0" borderId="0" xfId="0" applyNumberFormat="1" applyFont="1" applyAlignment="1">
      <alignment horizontal="center"/>
    </xf>
    <xf numFmtId="41" fontId="2" fillId="0" borderId="0" xfId="0" applyNumberFormat="1" applyFont="1" applyFill="1" applyAlignment="1">
      <alignment/>
    </xf>
    <xf numFmtId="168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/>
    </xf>
    <xf numFmtId="41" fontId="2" fillId="0" borderId="12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168" fontId="9" fillId="0" borderId="10" xfId="0" applyNumberFormat="1" applyFont="1" applyFill="1" applyBorder="1" applyAlignment="1">
      <alignment/>
    </xf>
    <xf numFmtId="168" fontId="9" fillId="0" borderId="0" xfId="0" applyNumberFormat="1" applyFont="1" applyFill="1" applyBorder="1" applyAlignment="1">
      <alignment/>
    </xf>
    <xf numFmtId="168" fontId="9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8" fontId="9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2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71" fontId="2" fillId="0" borderId="0" xfId="0" applyNumberFormat="1" applyFont="1" applyAlignment="1">
      <alignment/>
    </xf>
    <xf numFmtId="0" fontId="8" fillId="0" borderId="0" xfId="0" applyFont="1" applyFill="1" applyBorder="1" applyAlignment="1" quotePrefix="1">
      <alignment/>
    </xf>
    <xf numFmtId="0" fontId="2" fillId="0" borderId="11" xfId="0" applyFont="1" applyFill="1" applyBorder="1" applyAlignment="1">
      <alignment horizontal="left"/>
    </xf>
    <xf numFmtId="0" fontId="4" fillId="0" borderId="0" xfId="0" applyFont="1" applyAlignment="1">
      <alignment/>
    </xf>
    <xf numFmtId="171" fontId="2" fillId="0" borderId="0" xfId="0" applyNumberFormat="1" applyFont="1" applyFill="1" applyAlignment="1">
      <alignment/>
    </xf>
    <xf numFmtId="171" fontId="2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170" fontId="2" fillId="0" borderId="0" xfId="0" applyNumberFormat="1" applyFont="1" applyAlignment="1">
      <alignment/>
    </xf>
    <xf numFmtId="41" fontId="2" fillId="0" borderId="11" xfId="0" applyNumberFormat="1" applyFont="1" applyFill="1" applyBorder="1" applyAlignment="1">
      <alignment/>
    </xf>
    <xf numFmtId="170" fontId="2" fillId="0" borderId="0" xfId="0" applyNumberFormat="1" applyFont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33" borderId="10" xfId="0" applyNumberFormat="1" applyFont="1" applyFill="1" applyBorder="1" applyAlignment="1" quotePrefix="1">
      <alignment horizontal="center"/>
    </xf>
    <xf numFmtId="168" fontId="2" fillId="33" borderId="0" xfId="0" applyNumberFormat="1" applyFont="1" applyFill="1" applyAlignment="1">
      <alignment/>
    </xf>
    <xf numFmtId="41" fontId="2" fillId="33" borderId="0" xfId="0" applyNumberFormat="1" applyFont="1" applyFill="1" applyAlignment="1">
      <alignment/>
    </xf>
    <xf numFmtId="41" fontId="2" fillId="33" borderId="0" xfId="0" applyNumberFormat="1" applyFont="1" applyFill="1" applyBorder="1" applyAlignment="1">
      <alignment/>
    </xf>
    <xf numFmtId="168" fontId="9" fillId="33" borderId="10" xfId="0" applyNumberFormat="1" applyFont="1" applyFill="1" applyBorder="1" applyAlignment="1">
      <alignment/>
    </xf>
    <xf numFmtId="171" fontId="2" fillId="33" borderId="0" xfId="0" applyNumberFormat="1" applyFont="1" applyFill="1" applyAlignment="1">
      <alignment/>
    </xf>
    <xf numFmtId="171" fontId="2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1" fontId="2" fillId="0" borderId="0" xfId="0" applyNumberFormat="1" applyFont="1" applyBorder="1" applyAlignment="1">
      <alignment horizontal="center"/>
    </xf>
    <xf numFmtId="168" fontId="2" fillId="33" borderId="0" xfId="0" applyNumberFormat="1" applyFont="1" applyFill="1" applyAlignment="1">
      <alignment/>
    </xf>
    <xf numFmtId="41" fontId="2" fillId="33" borderId="0" xfId="0" applyNumberFormat="1" applyFont="1" applyFill="1" applyBorder="1" applyAlignment="1">
      <alignment/>
    </xf>
    <xf numFmtId="168" fontId="9" fillId="33" borderId="10" xfId="0" applyNumberFormat="1" applyFont="1" applyFill="1" applyBorder="1" applyAlignment="1">
      <alignment/>
    </xf>
    <xf numFmtId="168" fontId="2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 horizontal="center"/>
    </xf>
    <xf numFmtId="41" fontId="0" fillId="0" borderId="0" xfId="0" applyNumberFormat="1" applyAlignment="1">
      <alignment/>
    </xf>
    <xf numFmtId="0" fontId="0" fillId="0" borderId="0" xfId="0" applyBorder="1" applyAlignment="1">
      <alignment/>
    </xf>
    <xf numFmtId="168" fontId="0" fillId="0" borderId="0" xfId="0" applyNumberFormat="1" applyAlignment="1">
      <alignment/>
    </xf>
    <xf numFmtId="173" fontId="2" fillId="0" borderId="0" xfId="0" applyNumberFormat="1" applyFont="1" applyAlignment="1">
      <alignment/>
    </xf>
    <xf numFmtId="41" fontId="11" fillId="0" borderId="11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NumberFormat="1" applyFont="1" applyFill="1" applyBorder="1" applyAlignment="1" quotePrefix="1">
      <alignment horizontal="center"/>
    </xf>
    <xf numFmtId="0" fontId="11" fillId="0" borderId="0" xfId="0" applyFont="1" applyAlignment="1">
      <alignment/>
    </xf>
    <xf numFmtId="41" fontId="2" fillId="0" borderId="0" xfId="0" applyNumberFormat="1" applyFont="1" applyFill="1" applyBorder="1" applyAlignment="1">
      <alignment/>
    </xf>
    <xf numFmtId="168" fontId="9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Alignment="1">
      <alignment horizontal="left"/>
    </xf>
    <xf numFmtId="168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68" fontId="11" fillId="0" borderId="0" xfId="0" applyNumberFormat="1" applyFont="1" applyFill="1" applyAlignment="1">
      <alignment/>
    </xf>
    <xf numFmtId="41" fontId="11" fillId="0" borderId="0" xfId="0" applyNumberFormat="1" applyFont="1" applyAlignment="1">
      <alignment/>
    </xf>
    <xf numFmtId="0" fontId="15" fillId="0" borderId="0" xfId="0" applyFont="1" applyAlignment="1">
      <alignment/>
    </xf>
    <xf numFmtId="173" fontId="11" fillId="0" borderId="0" xfId="0" applyNumberFormat="1" applyFont="1" applyAlignment="1">
      <alignment/>
    </xf>
    <xf numFmtId="173" fontId="11" fillId="0" borderId="0" xfId="0" applyNumberFormat="1" applyFont="1" applyFill="1" applyAlignment="1">
      <alignment/>
    </xf>
    <xf numFmtId="41" fontId="11" fillId="0" borderId="0" xfId="0" applyNumberFormat="1" applyFont="1" applyFill="1" applyAlignment="1">
      <alignment/>
    </xf>
    <xf numFmtId="41" fontId="2" fillId="0" borderId="10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172" fontId="9" fillId="0" borderId="0" xfId="0" applyNumberFormat="1" applyFont="1" applyFill="1" applyBorder="1" applyAlignment="1">
      <alignment/>
    </xf>
    <xf numFmtId="41" fontId="2" fillId="33" borderId="10" xfId="0" applyNumberFormat="1" applyFont="1" applyFill="1" applyBorder="1" applyAlignment="1">
      <alignment/>
    </xf>
    <xf numFmtId="168" fontId="2" fillId="33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172" fontId="2" fillId="0" borderId="0" xfId="0" applyNumberFormat="1" applyFont="1" applyAlignment="1">
      <alignment/>
    </xf>
    <xf numFmtId="41" fontId="9" fillId="0" borderId="0" xfId="0" applyNumberFormat="1" applyFont="1" applyFill="1" applyBorder="1" applyAlignment="1">
      <alignment/>
    </xf>
    <xf numFmtId="41" fontId="11" fillId="0" borderId="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0" fontId="10" fillId="0" borderId="0" xfId="0" applyFont="1" applyAlignment="1">
      <alignment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NumberFormat="1" applyFont="1" applyBorder="1" applyAlignment="1">
      <alignment horizontal="center"/>
    </xf>
    <xf numFmtId="172" fontId="2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171" fontId="2" fillId="0" borderId="12" xfId="0" applyNumberFormat="1" applyFont="1" applyBorder="1" applyAlignment="1">
      <alignment horizontal="center"/>
    </xf>
    <xf numFmtId="171" fontId="2" fillId="0" borderId="0" xfId="0" applyNumberFormat="1" applyFont="1" applyAlignment="1">
      <alignment horizontal="center"/>
    </xf>
    <xf numFmtId="171" fontId="2" fillId="0" borderId="0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168" fontId="11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9" fillId="0" borderId="0" xfId="0" applyFont="1" applyAlignment="1">
      <alignment/>
    </xf>
    <xf numFmtId="164" fontId="2" fillId="0" borderId="11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/>
    </xf>
    <xf numFmtId="168" fontId="2" fillId="0" borderId="0" xfId="0" applyNumberFormat="1" applyFont="1" applyFill="1" applyBorder="1" applyAlignment="1">
      <alignment/>
    </xf>
    <xf numFmtId="41" fontId="11" fillId="0" borderId="0" xfId="0" applyNumberFormat="1" applyFont="1" applyFill="1" applyBorder="1" applyAlignment="1">
      <alignment/>
    </xf>
    <xf numFmtId="168" fontId="9" fillId="0" borderId="0" xfId="0" applyNumberFormat="1" applyFont="1" applyFill="1" applyBorder="1" applyAlignment="1">
      <alignment/>
    </xf>
    <xf numFmtId="0" fontId="18" fillId="0" borderId="12" xfId="0" applyFont="1" applyFill="1" applyBorder="1" applyAlignment="1">
      <alignment/>
    </xf>
    <xf numFmtId="168" fontId="0" fillId="0" borderId="0" xfId="0" applyNumberFormat="1" applyFill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172" fontId="2" fillId="33" borderId="0" xfId="0" applyNumberFormat="1" applyFont="1" applyFill="1" applyAlignment="1">
      <alignment/>
    </xf>
    <xf numFmtId="42" fontId="2" fillId="0" borderId="0" xfId="0" applyNumberFormat="1" applyFont="1" applyFill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/>
    </xf>
    <xf numFmtId="41" fontId="3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2" xfId="0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6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1" fillId="0" borderId="12" xfId="0" applyFont="1" applyFill="1" applyBorder="1" applyAlignment="1">
      <alignment/>
    </xf>
    <xf numFmtId="0" fontId="1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1" fillId="0" borderId="0" xfId="0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8" fontId="15" fillId="0" borderId="0" xfId="0" applyNumberFormat="1" applyFont="1" applyFill="1" applyAlignment="1">
      <alignment/>
    </xf>
    <xf numFmtId="168" fontId="11" fillId="0" borderId="0" xfId="0" applyNumberFormat="1" applyFont="1" applyFill="1" applyAlignment="1">
      <alignment/>
    </xf>
    <xf numFmtId="168" fontId="11" fillId="0" borderId="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168" fontId="20" fillId="0" borderId="0" xfId="0" applyNumberFormat="1" applyFont="1" applyFill="1" applyBorder="1" applyAlignment="1">
      <alignment/>
    </xf>
    <xf numFmtId="168" fontId="20" fillId="0" borderId="0" xfId="0" applyNumberFormat="1" applyFont="1" applyFill="1" applyBorder="1" applyAlignment="1">
      <alignment/>
    </xf>
    <xf numFmtId="171" fontId="11" fillId="0" borderId="0" xfId="0" applyNumberFormat="1" applyFont="1" applyFill="1" applyBorder="1" applyAlignment="1">
      <alignment/>
    </xf>
    <xf numFmtId="171" fontId="2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1" fontId="11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10" xfId="0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1" fontId="20" fillId="0" borderId="0" xfId="0" applyNumberFormat="1" applyFont="1" applyFill="1" applyAlignment="1">
      <alignment/>
    </xf>
    <xf numFmtId="44" fontId="2" fillId="0" borderId="0" xfId="44" applyNumberFormat="1" applyFont="1" applyFill="1" applyBorder="1" applyAlignment="1">
      <alignment/>
    </xf>
    <xf numFmtId="170" fontId="9" fillId="0" borderId="0" xfId="42" applyNumberFormat="1" applyFont="1" applyFill="1" applyBorder="1" applyAlignment="1">
      <alignment horizontal="left"/>
    </xf>
    <xf numFmtId="170" fontId="9" fillId="0" borderId="0" xfId="42" applyNumberFormat="1" applyFont="1" applyBorder="1" applyAlignment="1">
      <alignment horizontal="left"/>
    </xf>
    <xf numFmtId="170" fontId="9" fillId="0" borderId="0" xfId="42" applyNumberFormat="1" applyFont="1" applyFill="1" applyBorder="1" applyAlignment="1">
      <alignment horizontal="center"/>
    </xf>
    <xf numFmtId="172" fontId="9" fillId="0" borderId="0" xfId="44" applyNumberFormat="1" applyFont="1" applyFill="1" applyBorder="1" applyAlignment="1">
      <alignment/>
    </xf>
    <xf numFmtId="172" fontId="9" fillId="0" borderId="0" xfId="44" applyNumberFormat="1" applyFont="1" applyBorder="1" applyAlignment="1">
      <alignment/>
    </xf>
    <xf numFmtId="0" fontId="9" fillId="0" borderId="0" xfId="0" applyFont="1" applyAlignment="1">
      <alignment/>
    </xf>
    <xf numFmtId="170" fontId="2" fillId="0" borderId="0" xfId="42" applyNumberFormat="1" applyFont="1" applyFill="1" applyBorder="1" applyAlignment="1" quotePrefix="1">
      <alignment horizontal="left"/>
    </xf>
    <xf numFmtId="170" fontId="2" fillId="0" borderId="0" xfId="42" applyNumberFormat="1" applyFont="1" applyFill="1" applyBorder="1" applyAlignment="1">
      <alignment horizontal="left"/>
    </xf>
    <xf numFmtId="44" fontId="2" fillId="33" borderId="0" xfId="44" applyNumberFormat="1" applyFont="1" applyFill="1" applyBorder="1" applyAlignment="1">
      <alignment/>
    </xf>
    <xf numFmtId="167" fontId="2" fillId="0" borderId="0" xfId="42" applyNumberFormat="1" applyFont="1" applyBorder="1" applyAlignment="1">
      <alignment/>
    </xf>
    <xf numFmtId="169" fontId="2" fillId="0" borderId="0" xfId="42" applyNumberFormat="1" applyFont="1" applyBorder="1" applyAlignment="1">
      <alignment/>
    </xf>
    <xf numFmtId="169" fontId="2" fillId="0" borderId="0" xfId="42" applyNumberFormat="1" applyFont="1" applyFill="1" applyBorder="1" applyAlignment="1">
      <alignment/>
    </xf>
    <xf numFmtId="43" fontId="2" fillId="33" borderId="0" xfId="42" applyNumberFormat="1" applyFont="1" applyFill="1" applyBorder="1" applyAlignment="1">
      <alignment/>
    </xf>
    <xf numFmtId="43" fontId="2" fillId="0" borderId="0" xfId="42" applyNumberFormat="1" applyFont="1" applyBorder="1" applyAlignment="1">
      <alignment/>
    </xf>
    <xf numFmtId="43" fontId="2" fillId="0" borderId="0" xfId="42" applyNumberFormat="1" applyFont="1" applyFill="1" applyBorder="1" applyAlignment="1">
      <alignment/>
    </xf>
    <xf numFmtId="170" fontId="2" fillId="0" borderId="0" xfId="42" applyNumberFormat="1" applyFont="1" applyBorder="1" applyAlignment="1" quotePrefix="1">
      <alignment horizontal="left"/>
    </xf>
    <xf numFmtId="170" fontId="2" fillId="0" borderId="12" xfId="42" applyNumberFormat="1" applyFont="1" applyFill="1" applyBorder="1" applyAlignment="1" quotePrefix="1">
      <alignment horizontal="left"/>
    </xf>
    <xf numFmtId="44" fontId="2" fillId="33" borderId="12" xfId="44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44" fontId="9" fillId="0" borderId="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left"/>
    </xf>
    <xf numFmtId="41" fontId="11" fillId="0" borderId="0" xfId="0" applyNumberFormat="1" applyFont="1" applyFill="1" applyAlignment="1">
      <alignment/>
    </xf>
    <xf numFmtId="0" fontId="11" fillId="0" borderId="12" xfId="0" applyFont="1" applyFill="1" applyBorder="1" applyAlignment="1">
      <alignment/>
    </xf>
    <xf numFmtId="168" fontId="20" fillId="0" borderId="0" xfId="0" applyNumberFormat="1" applyFont="1" applyFill="1" applyBorder="1" applyAlignment="1">
      <alignment/>
    </xf>
    <xf numFmtId="168" fontId="20" fillId="0" borderId="0" xfId="0" applyNumberFormat="1" applyFont="1" applyFill="1" applyAlignment="1">
      <alignment/>
    </xf>
    <xf numFmtId="44" fontId="2" fillId="0" borderId="12" xfId="44" applyNumberFormat="1" applyFont="1" applyFill="1" applyBorder="1" applyAlignment="1">
      <alignment/>
    </xf>
    <xf numFmtId="41" fontId="11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171" fontId="22" fillId="0" borderId="0" xfId="0" applyNumberFormat="1" applyFont="1" applyFill="1" applyAlignment="1">
      <alignment/>
    </xf>
    <xf numFmtId="171" fontId="23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168" fontId="20" fillId="0" borderId="0" xfId="0" applyNumberFormat="1" applyFont="1" applyFill="1" applyBorder="1" applyAlignment="1">
      <alignment/>
    </xf>
    <xf numFmtId="172" fontId="20" fillId="0" borderId="0" xfId="44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Fill="1" applyAlignment="1">
      <alignment/>
    </xf>
    <xf numFmtId="168" fontId="2" fillId="33" borderId="10" xfId="0" applyNumberFormat="1" applyFont="1" applyFill="1" applyBorder="1" applyAlignment="1">
      <alignment/>
    </xf>
    <xf numFmtId="41" fontId="20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indent="1"/>
    </xf>
    <xf numFmtId="0" fontId="22" fillId="0" borderId="0" xfId="0" applyFont="1" applyAlignment="1">
      <alignment horizontal="left" readingOrder="1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172" fontId="0" fillId="0" borderId="0" xfId="0" applyNumberFormat="1" applyFont="1" applyAlignment="1">
      <alignment/>
    </xf>
    <xf numFmtId="0" fontId="11" fillId="0" borderId="0" xfId="0" applyFont="1" applyAlignment="1">
      <alignment horizontal="left" readingOrder="1"/>
    </xf>
    <xf numFmtId="168" fontId="2" fillId="33" borderId="0" xfId="0" applyNumberFormat="1" applyFont="1" applyFill="1" applyAlignment="1">
      <alignment/>
    </xf>
    <xf numFmtId="0" fontId="2" fillId="0" borderId="0" xfId="0" applyFont="1" applyAlignment="1">
      <alignment horizontal="left" readingOrder="1"/>
    </xf>
    <xf numFmtId="173" fontId="2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2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2" fillId="0" borderId="0" xfId="0" applyFont="1" applyAlignment="1">
      <alignment horizontal="left" readingOrder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170" fontId="2" fillId="0" borderId="12" xfId="42" applyNumberFormat="1" applyFont="1" applyBorder="1" applyAlignment="1">
      <alignment horizontal="left"/>
    </xf>
    <xf numFmtId="170" fontId="2" fillId="0" borderId="0" xfId="42" applyNumberFormat="1" applyFont="1" applyBorder="1" applyAlignment="1">
      <alignment horizontal="left"/>
    </xf>
    <xf numFmtId="172" fontId="2" fillId="0" borderId="0" xfId="44" applyNumberFormat="1" applyFont="1" applyBorder="1" applyAlignment="1">
      <alignment/>
    </xf>
    <xf numFmtId="172" fontId="2" fillId="0" borderId="12" xfId="44" applyNumberFormat="1" applyFont="1" applyFill="1" applyBorder="1" applyAlignment="1">
      <alignment/>
    </xf>
    <xf numFmtId="172" fontId="2" fillId="0" borderId="0" xfId="44" applyNumberFormat="1" applyFont="1" applyFill="1" applyBorder="1" applyAlignment="1">
      <alignment/>
    </xf>
    <xf numFmtId="170" fontId="2" fillId="0" borderId="0" xfId="42" applyNumberFormat="1" applyFont="1" applyAlignment="1">
      <alignment horizontal="left"/>
    </xf>
    <xf numFmtId="170" fontId="2" fillId="0" borderId="0" xfId="42" applyNumberFormat="1" applyFont="1" applyBorder="1" applyAlignment="1">
      <alignment/>
    </xf>
    <xf numFmtId="170" fontId="2" fillId="0" borderId="0" xfId="42" applyNumberFormat="1" applyFont="1" applyAlignment="1">
      <alignment/>
    </xf>
    <xf numFmtId="170" fontId="2" fillId="0" borderId="0" xfId="42" applyNumberFormat="1" applyFont="1" applyFill="1" applyAlignment="1">
      <alignment/>
    </xf>
    <xf numFmtId="171" fontId="2" fillId="0" borderId="0" xfId="42" applyNumberFormat="1" applyFont="1" applyBorder="1" applyAlignment="1">
      <alignment/>
    </xf>
    <xf numFmtId="171" fontId="2" fillId="0" borderId="0" xfId="42" applyNumberFormat="1" applyFont="1" applyAlignment="1">
      <alignment/>
    </xf>
    <xf numFmtId="171" fontId="2" fillId="0" borderId="0" xfId="42" applyNumberFormat="1" applyFont="1" applyFill="1" applyAlignment="1">
      <alignment/>
    </xf>
    <xf numFmtId="171" fontId="0" fillId="0" borderId="0" xfId="0" applyNumberFormat="1" applyAlignment="1">
      <alignment/>
    </xf>
    <xf numFmtId="171" fontId="2" fillId="0" borderId="0" xfId="42" applyNumberFormat="1" applyFont="1" applyFill="1" applyBorder="1" applyAlignment="1">
      <alignment/>
    </xf>
    <xf numFmtId="171" fontId="2" fillId="0" borderId="12" xfId="42" applyNumberFormat="1" applyFont="1" applyFill="1" applyBorder="1" applyAlignment="1">
      <alignment/>
    </xf>
    <xf numFmtId="170" fontId="2" fillId="0" borderId="10" xfId="42" applyNumberFormat="1" applyFont="1" applyBorder="1" applyAlignment="1">
      <alignment horizontal="left"/>
    </xf>
    <xf numFmtId="171" fontId="2" fillId="0" borderId="10" xfId="42" applyNumberFormat="1" applyFont="1" applyFill="1" applyBorder="1" applyAlignment="1">
      <alignment/>
    </xf>
    <xf numFmtId="170" fontId="9" fillId="0" borderId="11" xfId="42" applyNumberFormat="1" applyFont="1" applyBorder="1" applyAlignment="1">
      <alignment horizontal="left"/>
    </xf>
    <xf numFmtId="172" fontId="9" fillId="0" borderId="11" xfId="44" applyNumberFormat="1" applyFont="1" applyBorder="1" applyAlignment="1">
      <alignment/>
    </xf>
    <xf numFmtId="172" fontId="9" fillId="0" borderId="11" xfId="44" applyNumberFormat="1" applyFont="1" applyFill="1" applyBorder="1" applyAlignment="1">
      <alignment/>
    </xf>
    <xf numFmtId="170" fontId="2" fillId="0" borderId="12" xfId="42" applyNumberFormat="1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170" fontId="2" fillId="0" borderId="0" xfId="42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0" fontId="5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8" fontId="58" fillId="0" borderId="0" xfId="0" applyNumberFormat="1" applyFont="1" applyAlignment="1">
      <alignment/>
    </xf>
    <xf numFmtId="0" fontId="2" fillId="0" borderId="12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 quotePrefix="1">
      <alignment horizontal="center"/>
    </xf>
    <xf numFmtId="0" fontId="3" fillId="0" borderId="0" xfId="0" applyFont="1" applyAlignment="1">
      <alignment/>
    </xf>
    <xf numFmtId="172" fontId="0" fillId="0" borderId="0" xfId="0" applyNumberForma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0" fontId="11" fillId="0" borderId="0" xfId="0" applyNumberFormat="1" applyFont="1" applyFill="1" applyBorder="1" applyAlignment="1">
      <alignment/>
    </xf>
    <xf numFmtId="170" fontId="58" fillId="0" borderId="0" xfId="0" applyNumberFormat="1" applyFont="1" applyAlignment="1">
      <alignment/>
    </xf>
    <xf numFmtId="0" fontId="59" fillId="0" borderId="0" xfId="0" applyFont="1" applyAlignment="1">
      <alignment/>
    </xf>
    <xf numFmtId="0" fontId="0" fillId="0" borderId="12" xfId="0" applyFont="1" applyFill="1" applyBorder="1" applyAlignment="1">
      <alignment/>
    </xf>
    <xf numFmtId="170" fontId="11" fillId="0" borderId="0" xfId="0" applyNumberFormat="1" applyFont="1" applyFill="1" applyAlignment="1">
      <alignment/>
    </xf>
    <xf numFmtId="168" fontId="2" fillId="0" borderId="1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33" borderId="12" xfId="0" applyNumberFormat="1" applyFont="1" applyFill="1" applyBorder="1" applyAlignment="1" quotePrefix="1">
      <alignment horizontal="center"/>
    </xf>
    <xf numFmtId="0" fontId="2" fillId="0" borderId="12" xfId="0" applyNumberFormat="1" applyFont="1" applyFill="1" applyBorder="1" applyAlignment="1" quotePrefix="1">
      <alignment horizontal="center"/>
    </xf>
    <xf numFmtId="41" fontId="58" fillId="0" borderId="0" xfId="0" applyNumberFormat="1" applyFont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41" fontId="58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 readingOrder="1"/>
    </xf>
    <xf numFmtId="41" fontId="3" fillId="0" borderId="0" xfId="0" applyNumberFormat="1" applyFont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171" fontId="58" fillId="0" borderId="0" xfId="0" applyNumberFormat="1" applyFont="1" applyFill="1" applyBorder="1" applyAlignment="1">
      <alignment/>
    </xf>
    <xf numFmtId="168" fontId="60" fillId="0" borderId="0" xfId="0" applyNumberFormat="1" applyFont="1" applyFill="1" applyBorder="1" applyAlignment="1">
      <alignment/>
    </xf>
    <xf numFmtId="168" fontId="58" fillId="0" borderId="0" xfId="0" applyNumberFormat="1" applyFont="1" applyFill="1" applyAlignment="1">
      <alignment/>
    </xf>
    <xf numFmtId="41" fontId="58" fillId="0" borderId="0" xfId="0" applyNumberFormat="1" applyFont="1" applyFill="1" applyAlignment="1">
      <alignment/>
    </xf>
    <xf numFmtId="171" fontId="58" fillId="0" borderId="0" xfId="0" applyNumberFormat="1" applyFont="1" applyFill="1" applyAlignment="1">
      <alignment/>
    </xf>
    <xf numFmtId="168" fontId="58" fillId="0" borderId="0" xfId="0" applyNumberFormat="1" applyFont="1" applyFill="1" applyBorder="1" applyAlignment="1">
      <alignment/>
    </xf>
    <xf numFmtId="172" fontId="58" fillId="0" borderId="0" xfId="0" applyNumberFormat="1" applyFont="1" applyAlignment="1">
      <alignment/>
    </xf>
    <xf numFmtId="168" fontId="60" fillId="0" borderId="0" xfId="0" applyNumberFormat="1" applyFont="1" applyFill="1" applyAlignment="1">
      <alignment/>
    </xf>
    <xf numFmtId="164" fontId="2" fillId="0" borderId="0" xfId="0" applyNumberFormat="1" applyFont="1" applyBorder="1" applyAlignment="1">
      <alignment horizontal="center"/>
    </xf>
    <xf numFmtId="41" fontId="2" fillId="33" borderId="12" xfId="0" applyNumberFormat="1" applyFont="1" applyFill="1" applyBorder="1" applyAlignment="1">
      <alignment/>
    </xf>
    <xf numFmtId="173" fontId="58" fillId="0" borderId="0" xfId="0" applyNumberFormat="1" applyFont="1" applyAlignment="1">
      <alignment/>
    </xf>
    <xf numFmtId="168" fontId="9" fillId="33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68" fontId="15" fillId="0" borderId="0" xfId="0" applyNumberFormat="1" applyFont="1" applyFill="1" applyBorder="1" applyAlignment="1">
      <alignment/>
    </xf>
    <xf numFmtId="41" fontId="2" fillId="33" borderId="12" xfId="0" applyNumberFormat="1" applyFont="1" applyFill="1" applyBorder="1" applyAlignment="1">
      <alignment/>
    </xf>
    <xf numFmtId="41" fontId="2" fillId="0" borderId="12" xfId="0" applyNumberFormat="1" applyFont="1" applyFill="1" applyBorder="1" applyAlignment="1">
      <alignment/>
    </xf>
    <xf numFmtId="41" fontId="3" fillId="0" borderId="0" xfId="0" applyNumberFormat="1" applyFont="1" applyFill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41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41" fontId="3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gsportal.onshore.pgs.com/bu/corp/finance/corpaccounting/reporting/quarterlyresult/QuarterlyReportQ32010/Q3_2010_IS_and_B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Compr &amp; BS"/>
    </sheetNames>
    <sheetDataSet>
      <sheetData sheetId="0">
        <row r="26">
          <cell r="F26">
            <v>-43014</v>
          </cell>
          <cell r="H26">
            <v>52122</v>
          </cell>
          <cell r="J26">
            <v>-57599</v>
          </cell>
          <cell r="L26">
            <v>149908</v>
          </cell>
          <cell r="N26">
            <v>176167</v>
          </cell>
        </row>
        <row r="27">
          <cell r="F27">
            <v>1822</v>
          </cell>
          <cell r="H27">
            <v>-4375</v>
          </cell>
          <cell r="J27">
            <v>10357</v>
          </cell>
          <cell r="L27">
            <v>-6957</v>
          </cell>
          <cell r="N27">
            <v>-8248</v>
          </cell>
        </row>
        <row r="30">
          <cell r="F30">
            <v>5</v>
          </cell>
          <cell r="H30">
            <v>-1</v>
          </cell>
          <cell r="J30">
            <v>67</v>
          </cell>
          <cell r="L30">
            <v>-3</v>
          </cell>
          <cell r="N30">
            <v>2094</v>
          </cell>
        </row>
        <row r="31">
          <cell r="F31">
            <v>-41197</v>
          </cell>
        </row>
      </sheetData>
      <sheetData sheetId="1">
        <row r="16">
          <cell r="G16">
            <v>5009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4"/>
  <sheetViews>
    <sheetView showGridLines="0" tabSelected="1" zoomScale="85" zoomScaleNormal="85" zoomScaleSheetLayoutView="100" zoomScalePageLayoutView="0" workbookViewId="0" topLeftCell="A1">
      <selection activeCell="D243" sqref="D243"/>
    </sheetView>
  </sheetViews>
  <sheetFormatPr defaultColWidth="9.140625" defaultRowHeight="12.75"/>
  <cols>
    <col min="1" max="1" width="3.00390625" style="2" customWidth="1"/>
    <col min="2" max="2" width="44.28125" style="2" customWidth="1"/>
    <col min="3" max="3" width="1.7109375" style="2" customWidth="1"/>
    <col min="4" max="4" width="12.421875" style="2" customWidth="1"/>
    <col min="5" max="5" width="1.7109375" style="2" customWidth="1"/>
    <col min="6" max="6" width="12.57421875" style="2" bestFit="1" customWidth="1"/>
    <col min="7" max="7" width="1.1484375" style="2" customWidth="1"/>
    <col min="8" max="8" width="12.57421875" style="2" bestFit="1" customWidth="1"/>
    <col min="9" max="9" width="0.9921875" style="2" customWidth="1"/>
    <col min="10" max="10" width="12.57421875" style="2" bestFit="1" customWidth="1"/>
    <col min="11" max="11" width="1.28515625" style="2" customWidth="1"/>
    <col min="12" max="12" width="13.421875" style="2" bestFit="1" customWidth="1"/>
    <col min="13" max="13" width="1.1484375" style="2" customWidth="1"/>
    <col min="14" max="14" width="12.00390625" style="2" customWidth="1"/>
    <col min="15" max="15" width="1.57421875" style="2" customWidth="1"/>
    <col min="16" max="16" width="12.00390625" style="2" customWidth="1"/>
    <col min="17" max="17" width="1.421875" style="2" customWidth="1"/>
    <col min="18" max="18" width="11.28125" style="2" customWidth="1"/>
    <col min="19" max="19" width="1.7109375" style="2" customWidth="1"/>
    <col min="20" max="20" width="11.7109375" style="2" customWidth="1"/>
    <col min="21" max="21" width="1.7109375" style="2" customWidth="1"/>
    <col min="22" max="16384" width="9.140625" style="2" customWidth="1"/>
  </cols>
  <sheetData>
    <row r="1" spans="1:21" ht="18.75" customHeight="1">
      <c r="A1" s="312" t="s">
        <v>124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103"/>
      <c r="S1" s="103"/>
      <c r="T1" s="103"/>
      <c r="U1" s="103"/>
    </row>
    <row r="2" spans="1:21" ht="20.25">
      <c r="A2" s="312" t="s">
        <v>253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103"/>
      <c r="S2" s="103"/>
      <c r="T2" s="103"/>
      <c r="U2" s="103"/>
    </row>
    <row r="3" ht="12.75"/>
    <row r="4" spans="1:26" ht="13.5" customHeight="1">
      <c r="A4" s="8" t="s">
        <v>62</v>
      </c>
      <c r="B4" s="9"/>
      <c r="C4" s="9"/>
      <c r="D4" s="84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7" ht="12.75" customHeight="1">
      <c r="A5" s="219" t="s">
        <v>246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10"/>
    </row>
    <row r="6" spans="1:27" ht="12.75" customHeight="1">
      <c r="A6" s="219" t="s">
        <v>215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10"/>
    </row>
    <row r="7" spans="1:27" ht="12.75" customHeight="1">
      <c r="A7" s="219" t="s">
        <v>216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10"/>
    </row>
    <row r="8" spans="1:27" ht="12.75" customHeight="1">
      <c r="A8" s="217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10"/>
    </row>
    <row r="9" spans="1:26" ht="13.5" customHeight="1">
      <c r="A9" s="10" t="s">
        <v>63</v>
      </c>
      <c r="B9" s="94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3.5" customHeight="1">
      <c r="A10" s="10" t="s">
        <v>64</v>
      </c>
      <c r="B10" s="9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3.5" customHeight="1">
      <c r="A11" s="10" t="s">
        <v>65</v>
      </c>
      <c r="B11" s="9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7" ht="12.75" customHeight="1">
      <c r="A12" s="224" t="s">
        <v>226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10"/>
    </row>
    <row r="13" spans="1:27" ht="12.75" customHeight="1">
      <c r="A13" s="224" t="s">
        <v>227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10"/>
    </row>
    <row r="14" spans="1:27" ht="12.75" customHeight="1">
      <c r="A14" s="224" t="s">
        <v>266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10"/>
    </row>
    <row r="15" spans="1:27" ht="12.75" customHeight="1">
      <c r="A15" s="224" t="s">
        <v>247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10"/>
    </row>
    <row r="16" spans="1:27" ht="12.75" customHeight="1">
      <c r="A16" s="213" t="s">
        <v>267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10"/>
    </row>
    <row r="17" spans="1:27" s="119" customFormat="1" ht="12.75" customHeight="1">
      <c r="A17" s="213" t="s">
        <v>212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</row>
    <row r="18" spans="1:27" ht="12.75" customHeight="1">
      <c r="A18" s="213" t="s">
        <v>213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10"/>
    </row>
    <row r="19" spans="1:27" ht="12.75" customHeight="1">
      <c r="A19" s="8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10"/>
    </row>
    <row r="20" spans="1:27" ht="12.75" customHeight="1">
      <c r="A20" s="8" t="s">
        <v>66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10"/>
    </row>
    <row r="21" spans="1:27" ht="12.75" customHeight="1">
      <c r="A21" s="213" t="s">
        <v>160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10"/>
    </row>
    <row r="22" spans="1:27" ht="12.75" customHeight="1">
      <c r="A22" s="213" t="s">
        <v>161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10"/>
    </row>
    <row r="23" spans="1:27" ht="12.75" customHeight="1">
      <c r="A23" s="224" t="s">
        <v>217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10"/>
    </row>
    <row r="24" spans="1:27" ht="12.75" customHeight="1">
      <c r="A24" s="21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10"/>
    </row>
    <row r="25" spans="1:27" ht="12.75" customHeight="1">
      <c r="A25" s="213" t="s">
        <v>162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10"/>
    </row>
    <row r="26" spans="1:27" ht="12.75" customHeight="1">
      <c r="A26" s="224" t="s">
        <v>225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10"/>
    </row>
    <row r="27" spans="1:27" ht="12.75" customHeight="1">
      <c r="A27" s="224" t="s">
        <v>218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10"/>
    </row>
    <row r="28" spans="1:27" ht="12.75" customHeight="1">
      <c r="A28" s="21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10"/>
    </row>
    <row r="29" spans="1:27" ht="15.75" customHeight="1">
      <c r="A29" s="215" t="s">
        <v>219</v>
      </c>
      <c r="B29" s="34"/>
      <c r="C29" s="213"/>
      <c r="E29" s="283"/>
      <c r="F29" s="252"/>
      <c r="G29" s="252"/>
      <c r="H29" s="252"/>
      <c r="I29" s="252"/>
      <c r="J29" s="252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10"/>
    </row>
    <row r="30" spans="1:27" ht="12.75" customHeight="1">
      <c r="A30" s="2" t="s">
        <v>252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10"/>
    </row>
    <row r="31" spans="2:27" ht="12.75" customHeight="1" hidden="1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10"/>
    </row>
    <row r="32" spans="2:27" ht="12.75" customHeight="1" hidden="1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10"/>
    </row>
    <row r="33" spans="2:27" ht="12.75" customHeight="1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10"/>
    </row>
    <row r="34" spans="1:27" ht="12.75" customHeight="1">
      <c r="A34" s="36" t="s">
        <v>67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10"/>
    </row>
    <row r="35" spans="1:27" ht="12.75" customHeight="1">
      <c r="A35" s="5" t="s">
        <v>265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10"/>
    </row>
    <row r="36" spans="1:27" ht="12.75" customHeight="1">
      <c r="A36" s="5" t="s">
        <v>264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10"/>
    </row>
    <row r="37" spans="1:27" ht="12.75" customHeight="1">
      <c r="A37" s="5" t="s">
        <v>255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10"/>
    </row>
    <row r="38" spans="1:27" ht="12.75" customHeight="1">
      <c r="A38" s="5" t="s">
        <v>240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10"/>
    </row>
    <row r="39" spans="1:27" ht="12.75" customHeight="1">
      <c r="A39" s="5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10"/>
    </row>
    <row r="40" spans="1:25" s="114" customFormat="1" ht="13.5" thickBot="1">
      <c r="A40" s="37" t="s">
        <v>68</v>
      </c>
      <c r="B40" s="37"/>
      <c r="C40" s="37"/>
      <c r="D40" s="120"/>
      <c r="E40" s="37"/>
      <c r="F40" s="37"/>
      <c r="G40" s="37"/>
      <c r="H40" s="37"/>
      <c r="I40" s="37"/>
      <c r="J40" s="37"/>
      <c r="K40" s="37"/>
      <c r="L40" s="37"/>
      <c r="M40" s="32"/>
      <c r="N40" s="32"/>
      <c r="O40" s="32"/>
      <c r="P40" s="32"/>
      <c r="S40" s="32"/>
      <c r="T40" s="32"/>
      <c r="Y40" s="25"/>
    </row>
    <row r="41" spans="1:21" s="141" customFormat="1" ht="12.75">
      <c r="A41" s="83"/>
      <c r="B41" s="83"/>
      <c r="C41" s="83"/>
      <c r="D41" s="309" t="s">
        <v>8</v>
      </c>
      <c r="E41" s="309"/>
      <c r="F41" s="309"/>
      <c r="G41" s="63"/>
      <c r="H41" s="306" t="s">
        <v>249</v>
      </c>
      <c r="I41" s="306"/>
      <c r="J41" s="306"/>
      <c r="K41" s="63"/>
      <c r="L41" s="259" t="s">
        <v>36</v>
      </c>
      <c r="O41" s="139"/>
      <c r="P41" s="139"/>
      <c r="U41" s="86"/>
    </row>
    <row r="42" spans="1:21" s="141" customFormat="1" ht="12.75">
      <c r="A42" s="140"/>
      <c r="B42" s="140"/>
      <c r="C42" s="140"/>
      <c r="D42" s="305" t="s">
        <v>248</v>
      </c>
      <c r="E42" s="305"/>
      <c r="F42" s="305"/>
      <c r="G42" s="1"/>
      <c r="H42" s="305" t="s">
        <v>248</v>
      </c>
      <c r="I42" s="305"/>
      <c r="J42" s="305"/>
      <c r="K42" s="63"/>
      <c r="L42" s="259" t="s">
        <v>6</v>
      </c>
      <c r="O42" s="140"/>
      <c r="P42" s="140"/>
      <c r="U42" s="86"/>
    </row>
    <row r="43" spans="1:21" s="141" customFormat="1" ht="12.75">
      <c r="A43" s="126" t="s">
        <v>7</v>
      </c>
      <c r="B43" s="142"/>
      <c r="C43" s="86"/>
      <c r="D43" s="54">
        <v>2010</v>
      </c>
      <c r="E43" s="121"/>
      <c r="F43" s="26">
        <v>2009</v>
      </c>
      <c r="G43" s="65"/>
      <c r="H43" s="276">
        <v>2010</v>
      </c>
      <c r="I43" s="121"/>
      <c r="J43" s="285">
        <v>2009</v>
      </c>
      <c r="K43" s="26">
        <v>2009</v>
      </c>
      <c r="L43" s="260">
        <v>2009</v>
      </c>
      <c r="N43" s="143"/>
      <c r="O43" s="143"/>
      <c r="P43" s="86"/>
      <c r="Q43" s="86"/>
      <c r="R43" s="86"/>
      <c r="S43" s="86"/>
      <c r="U43" s="86"/>
    </row>
    <row r="44" spans="1:25" s="141" customFormat="1" ht="12.75">
      <c r="A44" s="209" t="s">
        <v>172</v>
      </c>
      <c r="B44" s="83"/>
      <c r="C44" s="86"/>
      <c r="D44" s="307" t="s">
        <v>5</v>
      </c>
      <c r="E44" s="307"/>
      <c r="F44" s="307"/>
      <c r="G44" s="307"/>
      <c r="H44" s="307"/>
      <c r="I44" s="307"/>
      <c r="J44" s="307"/>
      <c r="K44" s="307"/>
      <c r="L44" s="307"/>
      <c r="M44" s="204"/>
      <c r="N44" s="204"/>
      <c r="O44" s="204"/>
      <c r="P44" s="204"/>
      <c r="Q44" s="204"/>
      <c r="R44" s="144"/>
      <c r="S44" s="144"/>
      <c r="T44" s="143"/>
      <c r="U44" s="143"/>
      <c r="V44" s="86"/>
      <c r="W44" s="86"/>
      <c r="X44" s="86"/>
      <c r="Y44" s="86"/>
    </row>
    <row r="45" spans="1:23" s="141" customFormat="1" ht="12.75">
      <c r="A45" s="86" t="s">
        <v>7</v>
      </c>
      <c r="B45" s="25" t="s">
        <v>52</v>
      </c>
      <c r="C45" s="86"/>
      <c r="D45" s="122"/>
      <c r="E45" s="145"/>
      <c r="F45" s="145"/>
      <c r="G45" s="145"/>
      <c r="H45" s="145"/>
      <c r="I45" s="145"/>
      <c r="J45" s="145"/>
      <c r="K45" s="145"/>
      <c r="L45" s="122"/>
      <c r="M45" s="146"/>
      <c r="P45" s="143"/>
      <c r="Q45" s="147"/>
      <c r="R45" s="86"/>
      <c r="S45" s="86"/>
      <c r="T45" s="86"/>
      <c r="U45" s="86"/>
      <c r="W45" s="86"/>
    </row>
    <row r="46" spans="1:23" s="141" customFormat="1" ht="12.75">
      <c r="A46" s="86"/>
      <c r="B46" s="32" t="s">
        <v>1</v>
      </c>
      <c r="C46" s="86"/>
      <c r="D46" s="67">
        <f>+H46-282155</f>
        <v>166309</v>
      </c>
      <c r="E46" s="148"/>
      <c r="F46" s="70">
        <f>+J46-471615</f>
        <v>263280</v>
      </c>
      <c r="G46" s="70"/>
      <c r="H46" s="67">
        <v>448464</v>
      </c>
      <c r="I46" s="148"/>
      <c r="J46" s="70">
        <v>734895</v>
      </c>
      <c r="K46" s="124"/>
      <c r="L46" s="70">
        <v>893050</v>
      </c>
      <c r="M46" s="146"/>
      <c r="P46" s="143"/>
      <c r="Q46" s="147"/>
      <c r="R46" s="86"/>
      <c r="S46" s="86"/>
      <c r="T46" s="86"/>
      <c r="U46" s="86"/>
      <c r="W46" s="86"/>
    </row>
    <row r="47" spans="1:23" s="141" customFormat="1" ht="12.75">
      <c r="A47" s="86"/>
      <c r="B47" s="25" t="s">
        <v>70</v>
      </c>
      <c r="C47" s="86"/>
      <c r="D47" s="68">
        <f>+H47-68332</f>
        <v>53546</v>
      </c>
      <c r="E47" s="124"/>
      <c r="F47" s="80">
        <f>+J47-106099</f>
        <v>31465</v>
      </c>
      <c r="G47" s="80"/>
      <c r="H47" s="68">
        <v>121878</v>
      </c>
      <c r="I47" s="124"/>
      <c r="J47" s="80">
        <v>137564</v>
      </c>
      <c r="K47" s="124"/>
      <c r="L47" s="80">
        <v>169043</v>
      </c>
      <c r="M47" s="149"/>
      <c r="P47" s="143"/>
      <c r="Q47" s="147"/>
      <c r="R47" s="86"/>
      <c r="S47" s="86"/>
      <c r="T47" s="86"/>
      <c r="U47" s="86"/>
      <c r="W47" s="86"/>
    </row>
    <row r="48" spans="1:23" s="141" customFormat="1" ht="12.75">
      <c r="A48" s="83"/>
      <c r="B48" s="32" t="s">
        <v>71</v>
      </c>
      <c r="C48" s="83"/>
      <c r="D48" s="68">
        <f>+H48-67957</f>
        <v>50648</v>
      </c>
      <c r="E48" s="124"/>
      <c r="F48" s="80">
        <f>+J48-51801</f>
        <v>42651</v>
      </c>
      <c r="G48" s="80"/>
      <c r="H48" s="68">
        <v>118605</v>
      </c>
      <c r="I48" s="124"/>
      <c r="J48" s="80">
        <v>94452</v>
      </c>
      <c r="K48" s="124"/>
      <c r="L48" s="80">
        <f>181635+500</f>
        <v>182135</v>
      </c>
      <c r="M48" s="124"/>
      <c r="P48" s="143"/>
      <c r="Q48" s="147"/>
      <c r="R48" s="86"/>
      <c r="S48" s="86"/>
      <c r="T48" s="86"/>
      <c r="U48" s="86"/>
      <c r="W48" s="86"/>
    </row>
    <row r="49" spans="1:23" s="141" customFormat="1" ht="12.75">
      <c r="A49" s="83"/>
      <c r="B49" s="32" t="s">
        <v>72</v>
      </c>
      <c r="C49" s="83"/>
      <c r="D49" s="68">
        <f>+H49-(48071)</f>
        <v>24553</v>
      </c>
      <c r="E49" s="124"/>
      <c r="F49" s="80">
        <f>+J49-(45034)</f>
        <v>21639</v>
      </c>
      <c r="G49" s="80"/>
      <c r="H49" s="68">
        <f>72404+220</f>
        <v>72624</v>
      </c>
      <c r="I49" s="124"/>
      <c r="J49" s="80">
        <f>65712+961</f>
        <v>66673</v>
      </c>
      <c r="K49" s="124"/>
      <c r="L49" s="80">
        <f>88661+1497</f>
        <v>90158</v>
      </c>
      <c r="M49" s="124"/>
      <c r="P49" s="143"/>
      <c r="Q49" s="147"/>
      <c r="R49" s="86"/>
      <c r="S49" s="86"/>
      <c r="T49" s="86"/>
      <c r="U49" s="86"/>
      <c r="W49" s="86"/>
    </row>
    <row r="50" spans="1:23" s="141" customFormat="1" ht="12.75">
      <c r="A50" s="142"/>
      <c r="B50" s="98" t="s">
        <v>2</v>
      </c>
      <c r="C50" s="83"/>
      <c r="D50" s="301">
        <f>+H50-4820</f>
        <v>1530</v>
      </c>
      <c r="E50" s="124"/>
      <c r="F50" s="302">
        <f>+J50-10543</f>
        <v>2418</v>
      </c>
      <c r="G50" s="80"/>
      <c r="H50" s="301">
        <v>6350</v>
      </c>
      <c r="I50" s="124"/>
      <c r="J50" s="302">
        <v>12961</v>
      </c>
      <c r="K50" s="124"/>
      <c r="L50" s="302">
        <v>15816</v>
      </c>
      <c r="M50" s="124" t="s">
        <v>7</v>
      </c>
      <c r="P50" s="143"/>
      <c r="Q50" s="147"/>
      <c r="R50" s="86"/>
      <c r="S50" s="86"/>
      <c r="T50" s="86"/>
      <c r="U50" s="86"/>
      <c r="W50" s="86"/>
    </row>
    <row r="51" spans="1:23" s="298" customFormat="1" ht="12.75">
      <c r="A51" s="83"/>
      <c r="B51" s="32" t="s">
        <v>73</v>
      </c>
      <c r="C51" s="83"/>
      <c r="D51" s="297">
        <f>SUM(D46:D50)</f>
        <v>296586</v>
      </c>
      <c r="E51" s="149"/>
      <c r="F51" s="125">
        <f>SUM(F46:F50)</f>
        <v>361453</v>
      </c>
      <c r="G51" s="125"/>
      <c r="H51" s="297">
        <f>SUM(H46:H50)</f>
        <v>767921</v>
      </c>
      <c r="I51" s="149"/>
      <c r="J51" s="125">
        <f>SUM(J46:J50)</f>
        <v>1046545</v>
      </c>
      <c r="K51" s="151"/>
      <c r="L51" s="125">
        <f>SUM(L46:L50)</f>
        <v>1350202</v>
      </c>
      <c r="M51" s="151"/>
      <c r="P51" s="299"/>
      <c r="Q51" s="300"/>
      <c r="R51" s="83"/>
      <c r="S51" s="83"/>
      <c r="T51" s="83"/>
      <c r="U51" s="83"/>
      <c r="W51" s="83"/>
    </row>
    <row r="52" spans="1:23" s="141" customFormat="1" ht="12.75">
      <c r="A52" s="83"/>
      <c r="B52" s="32" t="s">
        <v>256</v>
      </c>
      <c r="C52" s="83" t="s">
        <v>7</v>
      </c>
      <c r="D52" s="60">
        <f>+H52-2959</f>
        <v>-176</v>
      </c>
      <c r="E52" s="153"/>
      <c r="F52" s="51">
        <v>0</v>
      </c>
      <c r="G52" s="51"/>
      <c r="H52" s="60">
        <v>2783</v>
      </c>
      <c r="I52" s="153"/>
      <c r="J52" s="51">
        <v>0</v>
      </c>
      <c r="K52" s="153"/>
      <c r="L52" s="51">
        <v>0</v>
      </c>
      <c r="M52" s="152"/>
      <c r="Q52" s="147"/>
      <c r="R52" s="86"/>
      <c r="S52" s="86"/>
      <c r="T52" s="86"/>
      <c r="U52" s="86"/>
      <c r="V52" s="86"/>
      <c r="W52" s="86"/>
    </row>
    <row r="53" spans="1:23" s="141" customFormat="1" ht="12.75">
      <c r="A53" s="150"/>
      <c r="B53" s="106" t="s">
        <v>149</v>
      </c>
      <c r="C53" s="83"/>
      <c r="D53" s="69">
        <f>SUM(D51:D52)</f>
        <v>296410</v>
      </c>
      <c r="E53" s="123"/>
      <c r="F53" s="81">
        <f>SUM(F51:F52)</f>
        <v>361453</v>
      </c>
      <c r="G53" s="125"/>
      <c r="H53" s="69">
        <f>SUM(H51:H52)</f>
        <v>770704</v>
      </c>
      <c r="I53" s="123"/>
      <c r="J53" s="81">
        <f>SUM(J51:J52)</f>
        <v>1046545</v>
      </c>
      <c r="K53" s="125"/>
      <c r="L53" s="81">
        <f>SUM(L51:L52)</f>
        <v>1350202</v>
      </c>
      <c r="M53" s="152"/>
      <c r="Q53" s="147"/>
      <c r="R53" s="86"/>
      <c r="S53" s="86"/>
      <c r="T53" s="86"/>
      <c r="U53" s="86"/>
      <c r="V53" s="86"/>
      <c r="W53" s="86"/>
    </row>
    <row r="54" spans="1:23" s="141" customFormat="1" ht="12.75">
      <c r="A54" s="83"/>
      <c r="B54" s="83"/>
      <c r="C54" s="83"/>
      <c r="D54" s="154"/>
      <c r="E54" s="153"/>
      <c r="F54" s="154"/>
      <c r="G54" s="154"/>
      <c r="H54" s="154"/>
      <c r="I54" s="154"/>
      <c r="J54" s="154"/>
      <c r="K54" s="154"/>
      <c r="L54" s="154"/>
      <c r="M54" s="152"/>
      <c r="Q54" s="147"/>
      <c r="R54" s="86"/>
      <c r="S54" s="86"/>
      <c r="T54" s="86"/>
      <c r="U54" s="86"/>
      <c r="V54" s="86"/>
      <c r="W54" s="86"/>
    </row>
    <row r="55" spans="1:27" ht="12.75">
      <c r="A55" s="102"/>
      <c r="B55" s="102"/>
      <c r="C55" s="5"/>
      <c r="D55" s="85"/>
      <c r="E55" s="17"/>
      <c r="F55" s="17"/>
      <c r="G55" s="17"/>
      <c r="H55" s="17"/>
      <c r="I55" s="17"/>
      <c r="J55" s="17"/>
      <c r="K55" s="17"/>
      <c r="L55" s="17"/>
      <c r="M55" s="17"/>
      <c r="N55" s="85"/>
      <c r="O55" s="17"/>
      <c r="P55" s="17"/>
      <c r="Q55" s="17"/>
      <c r="T55" s="17"/>
      <c r="U55" s="74"/>
      <c r="V55" s="14"/>
      <c r="W55" s="14"/>
      <c r="X55" s="14"/>
      <c r="Y55" s="14"/>
      <c r="Z55" s="5"/>
      <c r="AA55" s="5"/>
    </row>
    <row r="56" spans="1:25" s="114" customFormat="1" ht="13.5" thickBot="1">
      <c r="A56" s="37" t="s">
        <v>74</v>
      </c>
      <c r="B56" s="37"/>
      <c r="C56" s="37"/>
      <c r="D56" s="120"/>
      <c r="E56" s="37"/>
      <c r="F56" s="37"/>
      <c r="G56" s="37"/>
      <c r="H56" s="37"/>
      <c r="I56" s="37"/>
      <c r="J56" s="37"/>
      <c r="K56" s="37"/>
      <c r="L56" s="37"/>
      <c r="M56" s="32"/>
      <c r="N56" s="32"/>
      <c r="O56" s="32"/>
      <c r="P56" s="32"/>
      <c r="S56" s="32"/>
      <c r="T56" s="32"/>
      <c r="X56" s="25"/>
      <c r="Y56" s="32"/>
    </row>
    <row r="57" spans="1:25" s="114" customFormat="1" ht="12.75">
      <c r="A57" s="32"/>
      <c r="B57" s="32"/>
      <c r="C57" s="32"/>
      <c r="D57" s="309" t="s">
        <v>8</v>
      </c>
      <c r="E57" s="309"/>
      <c r="F57" s="309"/>
      <c r="G57" s="63"/>
      <c r="H57" s="306" t="s">
        <v>249</v>
      </c>
      <c r="I57" s="306"/>
      <c r="J57" s="306"/>
      <c r="K57" s="117"/>
      <c r="L57" s="78" t="s">
        <v>36</v>
      </c>
      <c r="M57" s="78"/>
      <c r="N57" s="78"/>
      <c r="O57" s="64"/>
      <c r="P57" s="64"/>
      <c r="S57" s="117"/>
      <c r="T57" s="117"/>
      <c r="X57" s="25"/>
      <c r="Y57" s="32"/>
    </row>
    <row r="58" spans="1:25" s="114" customFormat="1" ht="12.75">
      <c r="A58" s="64"/>
      <c r="B58" s="64"/>
      <c r="C58" s="64"/>
      <c r="D58" s="305" t="s">
        <v>248</v>
      </c>
      <c r="E58" s="305"/>
      <c r="F58" s="305"/>
      <c r="G58" s="1"/>
      <c r="H58" s="305" t="s">
        <v>248</v>
      </c>
      <c r="I58" s="305"/>
      <c r="J58" s="305"/>
      <c r="K58" s="64"/>
      <c r="L58" s="78" t="s">
        <v>6</v>
      </c>
      <c r="M58" s="78"/>
      <c r="N58" s="78"/>
      <c r="O58" s="64"/>
      <c r="P58" s="64"/>
      <c r="S58" s="64"/>
      <c r="T58" s="64"/>
      <c r="X58" s="25"/>
      <c r="Y58" s="25"/>
    </row>
    <row r="59" spans="1:23" s="114" customFormat="1" ht="12.75">
      <c r="A59" s="126"/>
      <c r="B59" s="98"/>
      <c r="C59" s="25"/>
      <c r="D59" s="54">
        <v>2010</v>
      </c>
      <c r="E59" s="121"/>
      <c r="F59" s="26">
        <v>2009</v>
      </c>
      <c r="G59" s="65"/>
      <c r="H59" s="276">
        <v>2010</v>
      </c>
      <c r="I59" s="121"/>
      <c r="J59" s="285">
        <v>2009</v>
      </c>
      <c r="K59" s="65"/>
      <c r="L59" s="260">
        <v>2009</v>
      </c>
      <c r="M59" s="78"/>
      <c r="N59" s="78"/>
      <c r="R59" s="121"/>
      <c r="S59" s="25"/>
      <c r="T59" s="25"/>
      <c r="U59" s="25"/>
      <c r="V59" s="25"/>
      <c r="W59" s="25"/>
    </row>
    <row r="60" spans="1:25" s="114" customFormat="1" ht="12.75">
      <c r="A60" s="209" t="s">
        <v>176</v>
      </c>
      <c r="B60" s="32"/>
      <c r="C60" s="25"/>
      <c r="D60" s="307" t="s">
        <v>5</v>
      </c>
      <c r="E60" s="307"/>
      <c r="F60" s="307"/>
      <c r="G60" s="307"/>
      <c r="H60" s="307"/>
      <c r="I60" s="307"/>
      <c r="J60" s="307"/>
      <c r="K60" s="307"/>
      <c r="L60" s="307"/>
      <c r="M60" s="255"/>
      <c r="N60" s="255"/>
      <c r="O60" s="202"/>
      <c r="P60" s="202"/>
      <c r="U60" s="121"/>
      <c r="V60" s="121"/>
      <c r="W60" s="121"/>
      <c r="X60" s="25"/>
      <c r="Y60" s="25"/>
    </row>
    <row r="61" spans="1:25" s="114" customFormat="1" ht="12.75">
      <c r="A61" s="113" t="s">
        <v>32</v>
      </c>
      <c r="B61" s="46"/>
      <c r="C61" s="25"/>
      <c r="D61" s="24"/>
      <c r="E61" s="24"/>
      <c r="F61" s="24"/>
      <c r="G61" s="24"/>
      <c r="H61" s="24"/>
      <c r="I61" s="24"/>
      <c r="J61" s="24"/>
      <c r="K61" s="24"/>
      <c r="L61" s="24"/>
      <c r="M61" s="23"/>
      <c r="N61" s="23"/>
      <c r="O61" s="23"/>
      <c r="P61" s="82"/>
      <c r="T61" s="24"/>
      <c r="U61" s="25"/>
      <c r="V61" s="25"/>
      <c r="W61" s="25"/>
      <c r="X61" s="25"/>
      <c r="Y61" s="25"/>
    </row>
    <row r="62" spans="1:23" s="114" customFormat="1" ht="12.75">
      <c r="A62" s="25"/>
      <c r="B62" s="46" t="s">
        <v>268</v>
      </c>
      <c r="C62" s="25"/>
      <c r="D62" s="55">
        <f>+H62-186508+3326</f>
        <v>131795</v>
      </c>
      <c r="E62" s="24"/>
      <c r="F62" s="24">
        <f>176078-1681</f>
        <v>174397</v>
      </c>
      <c r="G62" s="24"/>
      <c r="H62" s="218">
        <f>319173-5029+833</f>
        <v>314977</v>
      </c>
      <c r="I62" s="288"/>
      <c r="J62" s="24">
        <f>555766-10677</f>
        <v>545089</v>
      </c>
      <c r="K62" s="24"/>
      <c r="L62" s="24">
        <f>702555-200-11343</f>
        <v>691012</v>
      </c>
      <c r="M62" s="23"/>
      <c r="N62" s="23"/>
      <c r="Q62" s="127"/>
      <c r="R62" s="24"/>
      <c r="S62" s="25"/>
      <c r="T62" s="25"/>
      <c r="U62" s="25"/>
      <c r="V62" s="25"/>
      <c r="W62" s="25"/>
    </row>
    <row r="63" spans="1:23" s="114" customFormat="1" ht="12.75" hidden="1">
      <c r="A63" s="25"/>
      <c r="B63" s="46" t="s">
        <v>61</v>
      </c>
      <c r="C63" s="25"/>
      <c r="D63" s="56"/>
      <c r="E63" s="22"/>
      <c r="F63" s="22">
        <v>0</v>
      </c>
      <c r="G63" s="22"/>
      <c r="H63" s="56"/>
      <c r="I63" s="289"/>
      <c r="J63" s="22"/>
      <c r="K63" s="22"/>
      <c r="L63" s="51">
        <v>0</v>
      </c>
      <c r="M63" s="28"/>
      <c r="N63" s="28"/>
      <c r="Q63" s="127"/>
      <c r="R63" s="24"/>
      <c r="S63" s="25"/>
      <c r="T63" s="25"/>
      <c r="U63" s="25"/>
      <c r="V63" s="25"/>
      <c r="W63" s="25"/>
    </row>
    <row r="64" spans="1:23" s="114" customFormat="1" ht="12.75">
      <c r="A64" s="25"/>
      <c r="B64" s="46" t="s">
        <v>75</v>
      </c>
      <c r="C64" s="43"/>
      <c r="D64" s="59">
        <f>+H64--538</f>
        <v>-79880</v>
      </c>
      <c r="E64" s="43"/>
      <c r="F64" s="43">
        <f>+J64--98806</f>
        <v>-52406</v>
      </c>
      <c r="G64" s="43"/>
      <c r="H64" s="59">
        <v>-80418</v>
      </c>
      <c r="I64" s="290"/>
      <c r="J64" s="43">
        <f>-48138-103074</f>
        <v>-151212</v>
      </c>
      <c r="K64" s="43"/>
      <c r="L64" s="51">
        <f>-105086-48138-391</f>
        <v>-153615</v>
      </c>
      <c r="M64" s="23"/>
      <c r="N64" s="28"/>
      <c r="P64" s="280"/>
      <c r="Q64" s="127"/>
      <c r="R64" s="24"/>
      <c r="S64" s="25"/>
      <c r="T64" s="25"/>
      <c r="U64" s="25"/>
      <c r="V64" s="25"/>
      <c r="W64" s="25"/>
    </row>
    <row r="65" spans="1:23" s="114" customFormat="1" ht="12.75">
      <c r="A65" s="25"/>
      <c r="B65" s="46" t="s">
        <v>76</v>
      </c>
      <c r="C65" s="43"/>
      <c r="D65" s="59">
        <f>+H65-(-58381-1397-50)</f>
        <v>-29442</v>
      </c>
      <c r="E65" s="43"/>
      <c r="F65" s="43">
        <f>-33620-48-707-26</f>
        <v>-34401</v>
      </c>
      <c r="G65" s="43"/>
      <c r="H65" s="59">
        <f>-87064-36-2096-74</f>
        <v>-89270</v>
      </c>
      <c r="I65" s="290"/>
      <c r="J65" s="43">
        <f>-90873-149-2136-82</f>
        <v>-93240</v>
      </c>
      <c r="K65" s="43"/>
      <c r="L65" s="51">
        <f>-273966-4805-L66</f>
        <v>-125339</v>
      </c>
      <c r="M65" s="23"/>
      <c r="N65" s="28"/>
      <c r="Q65" s="127"/>
      <c r="R65" s="24"/>
      <c r="S65" s="25"/>
      <c r="T65" s="25"/>
      <c r="U65" s="25"/>
      <c r="V65" s="25"/>
      <c r="W65" s="25"/>
    </row>
    <row r="66" spans="1:23" s="114" customFormat="1" ht="12.75">
      <c r="A66" s="25"/>
      <c r="B66" s="46" t="s">
        <v>77</v>
      </c>
      <c r="C66" s="43"/>
      <c r="D66" s="59">
        <f>+H66-(-67276)</f>
        <v>-47781</v>
      </c>
      <c r="E66" s="43"/>
      <c r="F66" s="43">
        <f>-302-2111-26385+17</f>
        <v>-28781</v>
      </c>
      <c r="G66" s="43"/>
      <c r="H66" s="59">
        <f>-2161-7755-104308-833</f>
        <v>-115057</v>
      </c>
      <c r="I66" s="290"/>
      <c r="J66" s="43">
        <f>-302-5781-84114-722-50</f>
        <v>-90969</v>
      </c>
      <c r="K66" s="43"/>
      <c r="L66" s="51">
        <f>-128390-10138-13044-300-1560</f>
        <v>-153432</v>
      </c>
      <c r="M66" s="23"/>
      <c r="N66" s="28"/>
      <c r="Q66" s="127"/>
      <c r="R66" s="24"/>
      <c r="S66" s="25"/>
      <c r="T66" s="25"/>
      <c r="U66" s="25"/>
      <c r="V66" s="25"/>
      <c r="W66" s="25"/>
    </row>
    <row r="67" spans="1:23" s="114" customFormat="1" ht="12.75">
      <c r="A67" s="106"/>
      <c r="B67" s="47" t="s">
        <v>78</v>
      </c>
      <c r="C67" s="25"/>
      <c r="D67" s="96">
        <f>SUM(D62:D66)</f>
        <v>-25308</v>
      </c>
      <c r="E67" s="22"/>
      <c r="F67" s="93">
        <f>SUM(F62:F66)</f>
        <v>58809</v>
      </c>
      <c r="G67" s="28"/>
      <c r="H67" s="96">
        <f>SUM(H62:H66)</f>
        <v>30232</v>
      </c>
      <c r="I67" s="289"/>
      <c r="J67" s="93">
        <f>SUM(J62:J66)</f>
        <v>209668</v>
      </c>
      <c r="K67" s="28"/>
      <c r="L67" s="93">
        <f>SUM(L62:L66)</f>
        <v>258626</v>
      </c>
      <c r="M67" s="28"/>
      <c r="N67" s="28"/>
      <c r="Q67" s="127"/>
      <c r="R67" s="24"/>
      <c r="S67" s="25"/>
      <c r="T67" s="25"/>
      <c r="U67" s="25"/>
      <c r="V67" s="25"/>
      <c r="W67" s="25"/>
    </row>
    <row r="68" spans="1:23" s="114" customFormat="1" ht="12.75">
      <c r="A68" s="113" t="s">
        <v>53</v>
      </c>
      <c r="B68" s="46"/>
      <c r="C68" s="25"/>
      <c r="D68" s="22"/>
      <c r="E68" s="22"/>
      <c r="F68" s="22"/>
      <c r="G68" s="22"/>
      <c r="H68" s="22"/>
      <c r="I68" s="289"/>
      <c r="J68" s="289"/>
      <c r="K68" s="22"/>
      <c r="L68" s="155"/>
      <c r="M68" s="28"/>
      <c r="N68" s="28"/>
      <c r="Q68" s="127"/>
      <c r="R68" s="24"/>
      <c r="S68" s="25"/>
      <c r="T68" s="25"/>
      <c r="U68" s="25"/>
      <c r="V68" s="25"/>
      <c r="W68" s="25"/>
    </row>
    <row r="69" spans="1:23" s="114" customFormat="1" ht="12.75">
      <c r="A69" s="25"/>
      <c r="B69" s="46" t="s">
        <v>268</v>
      </c>
      <c r="C69" s="25"/>
      <c r="D69" s="218">
        <f>+H69-(-222-11629)</f>
        <v>-698</v>
      </c>
      <c r="E69" s="24"/>
      <c r="F69" s="24">
        <f>1744-5017</f>
        <v>-3273</v>
      </c>
      <c r="G69" s="24"/>
      <c r="H69" s="218">
        <f>2221-14770</f>
        <v>-12549</v>
      </c>
      <c r="I69" s="288"/>
      <c r="J69" s="24">
        <f>3761-17663</f>
        <v>-13902</v>
      </c>
      <c r="K69" s="24"/>
      <c r="L69" s="24">
        <f>4602-22920</f>
        <v>-18318</v>
      </c>
      <c r="M69" s="23"/>
      <c r="N69" s="291"/>
      <c r="P69" s="280"/>
      <c r="Q69" s="127"/>
      <c r="R69" s="24"/>
      <c r="S69" s="25"/>
      <c r="T69" s="25"/>
      <c r="U69" s="25"/>
      <c r="W69" s="25"/>
    </row>
    <row r="70" spans="1:23" s="114" customFormat="1" ht="12.75">
      <c r="A70" s="25"/>
      <c r="B70" s="46" t="s">
        <v>76</v>
      </c>
      <c r="C70" s="25"/>
      <c r="D70" s="60">
        <f>+H70-(-1659-1691-208)</f>
        <v>-1509</v>
      </c>
      <c r="E70" s="51"/>
      <c r="F70" s="51">
        <f>-810-821-185</f>
        <v>-1816</v>
      </c>
      <c r="G70" s="51"/>
      <c r="H70" s="60">
        <f>-2516-2257-1-293</f>
        <v>-5067</v>
      </c>
      <c r="I70" s="286"/>
      <c r="J70" s="51">
        <f>-4240-776</f>
        <v>-5016</v>
      </c>
      <c r="K70" s="24"/>
      <c r="L70" s="51">
        <f>-5667-852</f>
        <v>-6519</v>
      </c>
      <c r="M70" s="23"/>
      <c r="N70" s="281"/>
      <c r="Q70" s="127"/>
      <c r="R70" s="24"/>
      <c r="S70" s="25"/>
      <c r="T70" s="25"/>
      <c r="U70" s="25"/>
      <c r="V70" s="25"/>
      <c r="W70" s="25"/>
    </row>
    <row r="71" spans="1:23" s="114" customFormat="1" ht="12.75">
      <c r="A71" s="106"/>
      <c r="B71" s="47" t="s">
        <v>79</v>
      </c>
      <c r="C71" s="25"/>
      <c r="D71" s="96">
        <f>SUM(D69:D70)</f>
        <v>-2207</v>
      </c>
      <c r="E71" s="22"/>
      <c r="F71" s="93">
        <f>SUM(F69:F70)</f>
        <v>-5089</v>
      </c>
      <c r="G71" s="28"/>
      <c r="H71" s="96">
        <f>SUM(H69:H70)</f>
        <v>-17616</v>
      </c>
      <c r="I71" s="289"/>
      <c r="J71" s="93">
        <f>SUM(J69:J70)</f>
        <v>-18918</v>
      </c>
      <c r="K71" s="28"/>
      <c r="L71" s="93">
        <f>SUM(L69:L70)</f>
        <v>-24837</v>
      </c>
      <c r="M71" s="28"/>
      <c r="N71" s="28"/>
      <c r="Q71" s="127"/>
      <c r="R71" s="24"/>
      <c r="S71" s="25"/>
      <c r="T71" s="25"/>
      <c r="U71" s="25"/>
      <c r="V71" s="25"/>
      <c r="W71" s="25"/>
    </row>
    <row r="72" spans="1:23" s="114" customFormat="1" ht="12.75">
      <c r="A72" s="113" t="s">
        <v>80</v>
      </c>
      <c r="B72" s="46"/>
      <c r="C72" s="25"/>
      <c r="D72" s="22"/>
      <c r="E72" s="22"/>
      <c r="F72" s="22"/>
      <c r="G72" s="22"/>
      <c r="H72" s="22"/>
      <c r="I72" s="289"/>
      <c r="J72" s="289"/>
      <c r="K72" s="22"/>
      <c r="L72" s="155"/>
      <c r="M72" s="28"/>
      <c r="N72" s="28"/>
      <c r="Q72" s="127"/>
      <c r="R72" s="24"/>
      <c r="S72" s="25"/>
      <c r="T72" s="25"/>
      <c r="U72" s="25"/>
      <c r="V72" s="25"/>
      <c r="W72" s="25"/>
    </row>
    <row r="73" spans="1:23" s="114" customFormat="1" ht="12.75">
      <c r="A73" s="25"/>
      <c r="B73" s="46" t="s">
        <v>268</v>
      </c>
      <c r="C73" s="25"/>
      <c r="D73" s="55">
        <f>+H73--601</f>
        <v>-59</v>
      </c>
      <c r="E73" s="24"/>
      <c r="F73" s="24">
        <f>+J73-421</f>
        <v>-973</v>
      </c>
      <c r="G73" s="24"/>
      <c r="H73" s="218">
        <v>-660</v>
      </c>
      <c r="I73" s="288"/>
      <c r="J73" s="24">
        <v>-552</v>
      </c>
      <c r="K73" s="24"/>
      <c r="L73" s="24">
        <v>-548</v>
      </c>
      <c r="M73" s="28"/>
      <c r="N73" s="23"/>
      <c r="Q73" s="127"/>
      <c r="R73" s="24"/>
      <c r="S73" s="25"/>
      <c r="T73" s="25"/>
      <c r="U73" s="25"/>
      <c r="V73" s="25"/>
      <c r="W73" s="25"/>
    </row>
    <row r="74" spans="1:23" s="114" customFormat="1" ht="12.75">
      <c r="A74" s="25"/>
      <c r="B74" s="46" t="s">
        <v>76</v>
      </c>
      <c r="C74" s="25"/>
      <c r="D74" s="60">
        <f>+H74-0</f>
        <v>0</v>
      </c>
      <c r="E74" s="51"/>
      <c r="F74" s="51">
        <f>+J74-74</f>
        <v>-74</v>
      </c>
      <c r="G74" s="51"/>
      <c r="H74" s="60">
        <v>0</v>
      </c>
      <c r="I74" s="286"/>
      <c r="J74" s="51">
        <v>0</v>
      </c>
      <c r="K74" s="24"/>
      <c r="L74" s="51">
        <v>0</v>
      </c>
      <c r="M74" s="28"/>
      <c r="N74" s="28"/>
      <c r="Q74" s="127"/>
      <c r="R74" s="24"/>
      <c r="S74" s="25"/>
      <c r="T74" s="25"/>
      <c r="U74" s="25"/>
      <c r="V74" s="25"/>
      <c r="W74" s="25"/>
    </row>
    <row r="75" spans="1:23" s="114" customFormat="1" ht="12.75">
      <c r="A75" s="25"/>
      <c r="B75" s="46" t="s">
        <v>77</v>
      </c>
      <c r="C75" s="25"/>
      <c r="D75" s="60">
        <f>+H75-21</f>
        <v>0</v>
      </c>
      <c r="E75" s="51"/>
      <c r="F75" s="51">
        <f>+J75-11</f>
        <v>5</v>
      </c>
      <c r="G75" s="51"/>
      <c r="H75" s="60">
        <v>21</v>
      </c>
      <c r="I75" s="286"/>
      <c r="J75" s="51">
        <v>16</v>
      </c>
      <c r="K75" s="24"/>
      <c r="L75" s="51">
        <v>21</v>
      </c>
      <c r="M75" s="28"/>
      <c r="N75" s="28"/>
      <c r="Q75" s="127"/>
      <c r="R75" s="24"/>
      <c r="S75" s="25"/>
      <c r="T75" s="25"/>
      <c r="U75" s="25"/>
      <c r="V75" s="25"/>
      <c r="W75" s="25"/>
    </row>
    <row r="76" spans="1:23" s="114" customFormat="1" ht="12.75">
      <c r="A76" s="106"/>
      <c r="B76" s="47" t="s">
        <v>79</v>
      </c>
      <c r="C76" s="25"/>
      <c r="D76" s="96">
        <f>SUM(D73:D75)</f>
        <v>-59</v>
      </c>
      <c r="E76" s="22"/>
      <c r="F76" s="93">
        <f>SUM(F73:F75)</f>
        <v>-1042</v>
      </c>
      <c r="G76" s="28"/>
      <c r="H76" s="96">
        <f>SUM(H73:H75)</f>
        <v>-639</v>
      </c>
      <c r="I76" s="289"/>
      <c r="J76" s="93">
        <f>SUM(J73:J75)</f>
        <v>-536</v>
      </c>
      <c r="K76" s="28"/>
      <c r="L76" s="93">
        <f>SUM(L73:L75)</f>
        <v>-527</v>
      </c>
      <c r="M76" s="28"/>
      <c r="N76" s="28"/>
      <c r="Q76" s="127"/>
      <c r="R76" s="24"/>
      <c r="S76" s="25"/>
      <c r="T76" s="25"/>
      <c r="U76" s="25"/>
      <c r="V76" s="25"/>
      <c r="W76" s="25"/>
    </row>
    <row r="77" spans="1:23" s="114" customFormat="1" ht="12.75">
      <c r="A77" s="128" t="s">
        <v>81</v>
      </c>
      <c r="B77" s="53"/>
      <c r="C77" s="32"/>
      <c r="D77" s="28"/>
      <c r="E77" s="28"/>
      <c r="F77" s="28"/>
      <c r="G77" s="28"/>
      <c r="H77" s="28"/>
      <c r="I77" s="281"/>
      <c r="J77" s="28"/>
      <c r="K77" s="28"/>
      <c r="L77" s="155"/>
      <c r="M77" s="28"/>
      <c r="N77" s="28"/>
      <c r="Q77" s="127"/>
      <c r="R77" s="22"/>
      <c r="S77" s="25"/>
      <c r="T77" s="25"/>
      <c r="U77" s="25"/>
      <c r="V77" s="25"/>
      <c r="W77" s="25"/>
    </row>
    <row r="78" spans="1:23" s="114" customFormat="1" ht="12.75">
      <c r="A78" s="32"/>
      <c r="B78" s="46" t="s">
        <v>268</v>
      </c>
      <c r="C78" s="32"/>
      <c r="D78" s="97">
        <f>D69+D62+D73</f>
        <v>131038</v>
      </c>
      <c r="E78" s="23"/>
      <c r="F78" s="23">
        <f>F69+F62+F73</f>
        <v>170151</v>
      </c>
      <c r="G78" s="23"/>
      <c r="H78" s="97">
        <f>H69+H62+H73</f>
        <v>301768</v>
      </c>
      <c r="I78" s="291"/>
      <c r="J78" s="23">
        <f>J69+J62+J73</f>
        <v>530635</v>
      </c>
      <c r="K78" s="23"/>
      <c r="L78" s="23">
        <f>L69+L62+L73</f>
        <v>672146</v>
      </c>
      <c r="M78" s="23"/>
      <c r="N78" s="23"/>
      <c r="Q78" s="127"/>
      <c r="R78" s="22"/>
      <c r="S78" s="25"/>
      <c r="T78" s="25"/>
      <c r="U78" s="25"/>
      <c r="V78" s="25"/>
      <c r="W78" s="25"/>
    </row>
    <row r="79" spans="1:23" s="114" customFormat="1" ht="12.75" hidden="1">
      <c r="A79" s="32"/>
      <c r="B79" s="46" t="s">
        <v>61</v>
      </c>
      <c r="C79" s="32"/>
      <c r="D79" s="57">
        <f>D63</f>
        <v>0</v>
      </c>
      <c r="E79" s="28"/>
      <c r="F79" s="28">
        <f>F63</f>
        <v>0</v>
      </c>
      <c r="G79" s="28"/>
      <c r="H79" s="57">
        <f>H63</f>
        <v>0</v>
      </c>
      <c r="I79" s="281"/>
      <c r="J79" s="28">
        <f>J63</f>
        <v>0</v>
      </c>
      <c r="K79" s="28"/>
      <c r="L79" s="28">
        <f>L63</f>
        <v>0</v>
      </c>
      <c r="M79" s="28"/>
      <c r="N79" s="28"/>
      <c r="Q79" s="127"/>
      <c r="R79" s="22"/>
      <c r="S79" s="25"/>
      <c r="T79" s="25"/>
      <c r="U79" s="25"/>
      <c r="V79" s="25"/>
      <c r="W79" s="25"/>
    </row>
    <row r="80" spans="1:23" s="114" customFormat="1" ht="12.75">
      <c r="A80" s="32"/>
      <c r="B80" s="46" t="s">
        <v>75</v>
      </c>
      <c r="C80" s="32"/>
      <c r="D80" s="60">
        <f>+D64</f>
        <v>-79880</v>
      </c>
      <c r="E80" s="51"/>
      <c r="F80" s="51">
        <f>+F64</f>
        <v>-52406</v>
      </c>
      <c r="G80" s="51"/>
      <c r="H80" s="60">
        <f>H64</f>
        <v>-80418</v>
      </c>
      <c r="I80" s="286"/>
      <c r="J80" s="51">
        <f>J64</f>
        <v>-151212</v>
      </c>
      <c r="K80" s="51"/>
      <c r="L80" s="51">
        <f>L64</f>
        <v>-153615</v>
      </c>
      <c r="M80" s="23"/>
      <c r="N80" s="51"/>
      <c r="Q80" s="127"/>
      <c r="R80" s="22"/>
      <c r="S80" s="25"/>
      <c r="T80" s="25"/>
      <c r="U80" s="25"/>
      <c r="V80" s="25"/>
      <c r="W80" s="25"/>
    </row>
    <row r="81" spans="1:23" s="114" customFormat="1" ht="12.75">
      <c r="A81" s="32"/>
      <c r="B81" s="46" t="s">
        <v>76</v>
      </c>
      <c r="C81" s="32"/>
      <c r="D81" s="60">
        <f>D65+D70+D74</f>
        <v>-30951</v>
      </c>
      <c r="E81" s="51"/>
      <c r="F81" s="51">
        <f>F65+F70+F74</f>
        <v>-36291</v>
      </c>
      <c r="G81" s="51"/>
      <c r="H81" s="60">
        <f>H65+H70+H74</f>
        <v>-94337</v>
      </c>
      <c r="I81" s="286"/>
      <c r="J81" s="51">
        <f>J65+J70+J74</f>
        <v>-98256</v>
      </c>
      <c r="K81" s="51"/>
      <c r="L81" s="51">
        <f>L65+L70+L74</f>
        <v>-131858</v>
      </c>
      <c r="M81" s="23"/>
      <c r="N81" s="51"/>
      <c r="Q81" s="127"/>
      <c r="R81" s="22"/>
      <c r="S81" s="25"/>
      <c r="T81" s="25"/>
      <c r="U81" s="25"/>
      <c r="V81" s="25"/>
      <c r="W81" s="25"/>
    </row>
    <row r="82" spans="1:23" s="114" customFormat="1" ht="12.75">
      <c r="A82" s="32"/>
      <c r="B82" s="46" t="s">
        <v>77</v>
      </c>
      <c r="C82" s="32"/>
      <c r="D82" s="60">
        <f>D66+D75</f>
        <v>-47781</v>
      </c>
      <c r="E82" s="51"/>
      <c r="F82" s="51">
        <f>F66+F75</f>
        <v>-28776</v>
      </c>
      <c r="G82" s="51"/>
      <c r="H82" s="60">
        <f>H66+H75</f>
        <v>-115036</v>
      </c>
      <c r="I82" s="286"/>
      <c r="J82" s="51">
        <f>J66+J75</f>
        <v>-90953</v>
      </c>
      <c r="K82" s="51"/>
      <c r="L82" s="51">
        <f>L66+L75</f>
        <v>-153411</v>
      </c>
      <c r="M82" s="23"/>
      <c r="N82" s="51"/>
      <c r="Q82" s="127"/>
      <c r="R82" s="22"/>
      <c r="S82" s="25"/>
      <c r="T82" s="25"/>
      <c r="U82" s="25"/>
      <c r="V82" s="25"/>
      <c r="W82" s="25"/>
    </row>
    <row r="83" spans="1:23" s="114" customFormat="1" ht="12.75">
      <c r="A83" s="106"/>
      <c r="B83" s="47" t="s">
        <v>177</v>
      </c>
      <c r="C83" s="32"/>
      <c r="D83" s="58">
        <f>SUM(D78:D82)</f>
        <v>-27574</v>
      </c>
      <c r="E83" s="23"/>
      <c r="F83" s="29">
        <f>SUM(F78:F82)</f>
        <v>52678</v>
      </c>
      <c r="G83" s="30"/>
      <c r="H83" s="58">
        <f>SUM(H78:H82)</f>
        <v>11977</v>
      </c>
      <c r="I83" s="291"/>
      <c r="J83" s="29">
        <f>SUM(J78:J82)</f>
        <v>190214</v>
      </c>
      <c r="K83" s="30"/>
      <c r="L83" s="29">
        <f>SUM(L78:L82)</f>
        <v>233262</v>
      </c>
      <c r="M83" s="23"/>
      <c r="N83" s="30"/>
      <c r="Q83" s="127"/>
      <c r="R83" s="24"/>
      <c r="S83" s="25"/>
      <c r="T83" s="25"/>
      <c r="U83" s="25"/>
      <c r="V83" s="25"/>
      <c r="W83" s="25"/>
    </row>
    <row r="84" spans="1:23" s="114" customFormat="1" ht="12.75">
      <c r="A84" s="129" t="s">
        <v>4</v>
      </c>
      <c r="B84" s="53" t="s">
        <v>82</v>
      </c>
      <c r="C84" s="32"/>
      <c r="D84" s="30"/>
      <c r="E84" s="23"/>
      <c r="F84" s="30"/>
      <c r="G84" s="30"/>
      <c r="H84" s="30"/>
      <c r="I84" s="30"/>
      <c r="J84" s="30"/>
      <c r="K84" s="30"/>
      <c r="L84" s="30"/>
      <c r="M84" s="23"/>
      <c r="N84" s="82"/>
      <c r="Q84" s="127"/>
      <c r="R84" s="24"/>
      <c r="S84" s="25"/>
      <c r="T84" s="25"/>
      <c r="U84" s="25"/>
      <c r="V84" s="25"/>
      <c r="W84" s="25"/>
    </row>
    <row r="85" spans="1:25" s="114" customFormat="1" ht="12.75">
      <c r="A85" s="129"/>
      <c r="B85" s="53"/>
      <c r="C85" s="32"/>
      <c r="D85" s="30"/>
      <c r="E85" s="23"/>
      <c r="F85" s="30"/>
      <c r="G85" s="30"/>
      <c r="H85" s="30"/>
      <c r="I85" s="30"/>
      <c r="J85" s="30"/>
      <c r="K85" s="30"/>
      <c r="L85" s="30"/>
      <c r="M85" s="30"/>
      <c r="N85" s="30"/>
      <c r="O85" s="23"/>
      <c r="P85" s="82"/>
      <c r="S85" s="127"/>
      <c r="T85" s="24"/>
      <c r="U85" s="25"/>
      <c r="V85" s="25"/>
      <c r="W85" s="25"/>
      <c r="X85" s="25"/>
      <c r="Y85" s="25"/>
    </row>
    <row r="86" spans="1:21" ht="12.75">
      <c r="A86" s="5"/>
      <c r="B86" s="32"/>
      <c r="C86" s="86"/>
      <c r="D86" s="85"/>
      <c r="E86" s="87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30"/>
      <c r="R86" s="114"/>
      <c r="S86" s="114"/>
      <c r="T86" s="25"/>
      <c r="U86" s="74"/>
    </row>
    <row r="87" spans="1:21" ht="15">
      <c r="A87" s="38" t="s">
        <v>99</v>
      </c>
      <c r="B87" s="25"/>
      <c r="C87" s="32"/>
      <c r="D87" s="25"/>
      <c r="E87" s="2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30"/>
      <c r="R87" s="114"/>
      <c r="S87" s="114"/>
      <c r="T87" s="25"/>
      <c r="U87" s="74"/>
    </row>
    <row r="88" spans="1:21" ht="13.5" thickBot="1">
      <c r="A88" s="37" t="s">
        <v>54</v>
      </c>
      <c r="B88" s="37"/>
      <c r="C88" s="37"/>
      <c r="D88" s="37"/>
      <c r="E88" s="37"/>
      <c r="F88" s="116"/>
      <c r="G88" s="116"/>
      <c r="H88" s="116"/>
      <c r="I88" s="116"/>
      <c r="J88" s="116"/>
      <c r="K88" s="116"/>
      <c r="L88" s="116"/>
      <c r="M88" s="85"/>
      <c r="N88" s="85"/>
      <c r="O88" s="85"/>
      <c r="P88" s="85"/>
      <c r="Q88" s="30"/>
      <c r="R88" s="114"/>
      <c r="S88" s="114"/>
      <c r="T88" s="25"/>
      <c r="U88" s="74"/>
    </row>
    <row r="89" spans="1:21" ht="12.75">
      <c r="A89" s="32"/>
      <c r="B89" s="32"/>
      <c r="C89" s="25"/>
      <c r="D89" s="309" t="s">
        <v>8</v>
      </c>
      <c r="E89" s="309"/>
      <c r="F89" s="309"/>
      <c r="G89" s="294"/>
      <c r="H89" s="306" t="s">
        <v>249</v>
      </c>
      <c r="I89" s="306"/>
      <c r="J89" s="306"/>
      <c r="K89" s="117"/>
      <c r="L89" s="1" t="s">
        <v>36</v>
      </c>
      <c r="M89" s="1"/>
      <c r="N89" s="1"/>
      <c r="O89" s="63"/>
      <c r="P89" s="1"/>
      <c r="Q89" s="30"/>
      <c r="R89" s="114"/>
      <c r="S89" s="114"/>
      <c r="T89" s="25"/>
      <c r="U89" s="74"/>
    </row>
    <row r="90" spans="1:21" ht="12.75">
      <c r="A90" s="25"/>
      <c r="B90" s="25"/>
      <c r="C90" s="25"/>
      <c r="D90" s="305" t="s">
        <v>248</v>
      </c>
      <c r="E90" s="305"/>
      <c r="F90" s="305"/>
      <c r="G90" s="1"/>
      <c r="H90" s="305" t="s">
        <v>248</v>
      </c>
      <c r="I90" s="305"/>
      <c r="J90" s="305"/>
      <c r="K90" s="64"/>
      <c r="L90" s="1" t="s">
        <v>6</v>
      </c>
      <c r="M90" s="1"/>
      <c r="N90" s="1"/>
      <c r="O90" s="1"/>
      <c r="P90" s="1"/>
      <c r="Q90" s="30"/>
      <c r="R90" s="114"/>
      <c r="S90" s="114"/>
      <c r="T90" s="25"/>
      <c r="U90" s="74"/>
    </row>
    <row r="91" spans="1:19" ht="12.75">
      <c r="A91" s="45" t="s">
        <v>7</v>
      </c>
      <c r="B91" s="45"/>
      <c r="C91" s="25"/>
      <c r="D91" s="54">
        <v>2010</v>
      </c>
      <c r="E91" s="121"/>
      <c r="F91" s="26">
        <v>2009</v>
      </c>
      <c r="G91" s="65"/>
      <c r="H91" s="276">
        <v>2010</v>
      </c>
      <c r="I91" s="121"/>
      <c r="J91" s="285">
        <v>2009</v>
      </c>
      <c r="K91" s="65"/>
      <c r="L91" s="260">
        <v>2009</v>
      </c>
      <c r="M91" s="65"/>
      <c r="N91" s="78"/>
      <c r="O91" s="30"/>
      <c r="P91" s="114"/>
      <c r="Q91" s="114"/>
      <c r="R91" s="25"/>
      <c r="S91" s="74"/>
    </row>
    <row r="92" spans="1:21" ht="12.75">
      <c r="A92" s="61"/>
      <c r="B92" s="61"/>
      <c r="C92" s="114"/>
      <c r="D92" s="304" t="s">
        <v>5</v>
      </c>
      <c r="E92" s="304"/>
      <c r="F92" s="304"/>
      <c r="G92" s="304"/>
      <c r="H92" s="304"/>
      <c r="I92" s="304"/>
      <c r="J92" s="304"/>
      <c r="K92" s="304"/>
      <c r="L92" s="304"/>
      <c r="M92" s="253"/>
      <c r="N92" s="253"/>
      <c r="O92" s="201"/>
      <c r="P92" s="201"/>
      <c r="Q92" s="30"/>
      <c r="R92" s="114"/>
      <c r="S92" s="114"/>
      <c r="T92" s="25"/>
      <c r="U92" s="74"/>
    </row>
    <row r="93" spans="1:19" ht="12.75">
      <c r="A93" s="25"/>
      <c r="B93" s="25" t="s">
        <v>55</v>
      </c>
      <c r="C93" s="28"/>
      <c r="D93" s="55">
        <f>+H93-17389</f>
        <v>8014</v>
      </c>
      <c r="E93" s="14"/>
      <c r="F93" s="24">
        <f>+J93-15751</f>
        <v>8125</v>
      </c>
      <c r="G93" s="24"/>
      <c r="H93" s="218">
        <v>25403</v>
      </c>
      <c r="I93" s="256"/>
      <c r="J93" s="24">
        <v>23876</v>
      </c>
      <c r="K93" s="24"/>
      <c r="L93" s="24">
        <v>31555</v>
      </c>
      <c r="M93" s="24"/>
      <c r="N93" s="23"/>
      <c r="O93" s="30"/>
      <c r="P93" s="114"/>
      <c r="Q93" s="114"/>
      <c r="R93" s="25"/>
      <c r="S93" s="74"/>
    </row>
    <row r="94" spans="1:19" ht="12.75">
      <c r="A94" s="25"/>
      <c r="B94" s="25" t="s">
        <v>56</v>
      </c>
      <c r="C94" s="22"/>
      <c r="D94" s="56">
        <f>+H94--6117</f>
        <v>-3445</v>
      </c>
      <c r="E94" s="16"/>
      <c r="F94" s="22">
        <f>+J94--2762</f>
        <v>-3482</v>
      </c>
      <c r="G94" s="22"/>
      <c r="H94" s="56">
        <v>-9562</v>
      </c>
      <c r="I94" s="278"/>
      <c r="J94" s="22">
        <v>-6244</v>
      </c>
      <c r="K94" s="22"/>
      <c r="L94" s="22">
        <v>-8749</v>
      </c>
      <c r="M94" s="28"/>
      <c r="N94" s="28"/>
      <c r="O94" s="30"/>
      <c r="P94" s="114"/>
      <c r="Q94" s="114"/>
      <c r="R94" s="25"/>
      <c r="S94" s="74"/>
    </row>
    <row r="95" spans="1:19" ht="12.75">
      <c r="A95" s="106"/>
      <c r="B95" s="106" t="s">
        <v>0</v>
      </c>
      <c r="C95" s="114"/>
      <c r="D95" s="58">
        <f>SUM(D93:D94)</f>
        <v>4569</v>
      </c>
      <c r="E95" s="16"/>
      <c r="F95" s="29">
        <f>SUM(F93:F94)</f>
        <v>4643</v>
      </c>
      <c r="G95" s="29"/>
      <c r="H95" s="58">
        <f>SUM(H93:H94)</f>
        <v>15841</v>
      </c>
      <c r="I95" s="278"/>
      <c r="J95" s="29">
        <f>SUM(J93:J94)</f>
        <v>17632</v>
      </c>
      <c r="K95" s="29"/>
      <c r="L95" s="29">
        <f>SUM(L93:L94)</f>
        <v>22806</v>
      </c>
      <c r="M95" s="30"/>
      <c r="N95" s="30"/>
      <c r="O95" s="30"/>
      <c r="P95" s="114"/>
      <c r="Q95" s="114"/>
      <c r="R95" s="25"/>
      <c r="S95" s="74"/>
    </row>
    <row r="96" spans="1:19" ht="12.75">
      <c r="A96" s="5"/>
      <c r="B96" s="32"/>
      <c r="C96" s="86"/>
      <c r="D96" s="85"/>
      <c r="E96" s="87"/>
      <c r="F96" s="85"/>
      <c r="G96" s="85"/>
      <c r="H96" s="85"/>
      <c r="I96" s="85"/>
      <c r="J96" s="85"/>
      <c r="K96" s="85"/>
      <c r="L96" s="85"/>
      <c r="M96" s="85"/>
      <c r="N96" s="85"/>
      <c r="O96" s="30"/>
      <c r="P96" s="114"/>
      <c r="Q96" s="114"/>
      <c r="R96" s="25"/>
      <c r="S96" s="74"/>
    </row>
    <row r="97" spans="1:21" ht="12.75">
      <c r="A97" s="102"/>
      <c r="B97" s="102"/>
      <c r="C97" s="5"/>
      <c r="D97" s="85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T97" s="17"/>
      <c r="U97" s="74"/>
    </row>
    <row r="98" spans="1:20" ht="15">
      <c r="A98" s="8" t="s">
        <v>100</v>
      </c>
      <c r="D98" s="3"/>
      <c r="T98" s="3"/>
    </row>
    <row r="99" spans="1:21" ht="13.5" thickBot="1">
      <c r="A99" s="6" t="s">
        <v>15</v>
      </c>
      <c r="B99" s="6"/>
      <c r="C99" s="6"/>
      <c r="D99" s="7"/>
      <c r="E99" s="6"/>
      <c r="F99" s="6"/>
      <c r="G99" s="6"/>
      <c r="H99" s="6"/>
      <c r="I99" s="6"/>
      <c r="J99" s="6"/>
      <c r="K99" s="6"/>
      <c r="L99" s="6"/>
      <c r="M99" s="5"/>
      <c r="N99" s="5"/>
      <c r="O99" s="5"/>
      <c r="P99" s="5"/>
      <c r="U99" s="5"/>
    </row>
    <row r="100" spans="1:21" ht="12.75">
      <c r="A100" s="5"/>
      <c r="B100" s="5"/>
      <c r="C100" s="5"/>
      <c r="D100" s="309" t="s">
        <v>8</v>
      </c>
      <c r="E100" s="309"/>
      <c r="F100" s="309"/>
      <c r="G100" s="294"/>
      <c r="H100" s="306" t="s">
        <v>249</v>
      </c>
      <c r="I100" s="306"/>
      <c r="J100" s="306"/>
      <c r="K100" s="117"/>
      <c r="L100" s="1" t="s">
        <v>36</v>
      </c>
      <c r="M100" s="1"/>
      <c r="N100" s="1"/>
      <c r="O100" s="63"/>
      <c r="P100" s="1"/>
      <c r="Q100" s="64"/>
      <c r="R100" s="64"/>
      <c r="U100" s="63"/>
    </row>
    <row r="101" spans="4:21" ht="12.75">
      <c r="D101" s="305" t="s">
        <v>248</v>
      </c>
      <c r="E101" s="305"/>
      <c r="F101" s="305"/>
      <c r="G101" s="1"/>
      <c r="H101" s="305" t="s">
        <v>248</v>
      </c>
      <c r="I101" s="305"/>
      <c r="J101" s="305"/>
      <c r="K101" s="64"/>
      <c r="L101" s="1" t="s">
        <v>6</v>
      </c>
      <c r="M101" s="1"/>
      <c r="N101" s="1"/>
      <c r="O101" s="1"/>
      <c r="P101" s="1"/>
      <c r="Q101" s="64"/>
      <c r="R101" s="64"/>
      <c r="U101" s="1"/>
    </row>
    <row r="102" spans="1:19" ht="12.75">
      <c r="A102" s="13" t="s">
        <v>7</v>
      </c>
      <c r="B102" s="12"/>
      <c r="D102" s="54">
        <v>2010</v>
      </c>
      <c r="E102" s="121"/>
      <c r="F102" s="26">
        <v>2009</v>
      </c>
      <c r="G102" s="65"/>
      <c r="H102" s="276">
        <v>2010</v>
      </c>
      <c r="I102" s="121"/>
      <c r="J102" s="285">
        <v>2009</v>
      </c>
      <c r="K102" s="65"/>
      <c r="L102" s="260">
        <v>2009</v>
      </c>
      <c r="M102" s="65"/>
      <c r="N102" s="78"/>
      <c r="O102" s="78"/>
      <c r="P102" s="78"/>
      <c r="S102" s="74"/>
    </row>
    <row r="103" spans="1:16" ht="12.75">
      <c r="A103" s="62"/>
      <c r="B103" s="5"/>
      <c r="D103" s="308" t="s">
        <v>5</v>
      </c>
      <c r="E103" s="308"/>
      <c r="F103" s="308"/>
      <c r="G103" s="308"/>
      <c r="H103" s="308"/>
      <c r="I103" s="308"/>
      <c r="J103" s="308"/>
      <c r="K103" s="308"/>
      <c r="L103" s="308"/>
      <c r="M103" s="261"/>
      <c r="N103" s="261"/>
      <c r="O103" s="200"/>
      <c r="P103" s="200"/>
    </row>
    <row r="104" spans="1:19" ht="12.75">
      <c r="A104" s="2"/>
      <c r="B104" s="2" t="s">
        <v>9</v>
      </c>
      <c r="C104" s="2"/>
      <c r="D104" s="55">
        <f>+H104-(81845)</f>
        <v>43221</v>
      </c>
      <c r="E104" s="14"/>
      <c r="F104" s="24">
        <f>+J104-(73365)</f>
        <v>40575</v>
      </c>
      <c r="G104" s="24"/>
      <c r="H104" s="218">
        <f>122406+2660</f>
        <v>125066</v>
      </c>
      <c r="I104" s="256"/>
      <c r="J104" s="24">
        <f>111101+2839</f>
        <v>113940</v>
      </c>
      <c r="K104" s="14"/>
      <c r="L104" s="24">
        <f>128252+3606+24781</f>
        <v>156639</v>
      </c>
      <c r="M104" s="14"/>
      <c r="N104" s="23"/>
      <c r="S104" s="74"/>
    </row>
    <row r="105" spans="1:19" ht="12.75">
      <c r="A105" s="2"/>
      <c r="B105" s="2" t="s">
        <v>178</v>
      </c>
      <c r="C105" s="2"/>
      <c r="D105" s="56">
        <f>+H105--18459</f>
        <v>-12270</v>
      </c>
      <c r="E105" s="16"/>
      <c r="F105" s="22">
        <f>+J105--11400</f>
        <v>-4284</v>
      </c>
      <c r="G105" s="22"/>
      <c r="H105" s="56">
        <v>-30729</v>
      </c>
      <c r="I105" s="278"/>
      <c r="J105" s="22">
        <v>-15684</v>
      </c>
      <c r="K105" s="22"/>
      <c r="L105" s="22">
        <v>-24781</v>
      </c>
      <c r="M105" s="16"/>
      <c r="N105" s="28"/>
      <c r="S105" s="74"/>
    </row>
    <row r="106" spans="1:19" ht="12.75">
      <c r="A106" s="2"/>
      <c r="B106" s="2" t="s">
        <v>88</v>
      </c>
      <c r="C106" s="2"/>
      <c r="D106" s="56">
        <f>+H106-(67255)</f>
        <v>47781</v>
      </c>
      <c r="E106" s="16"/>
      <c r="F106" s="22">
        <f>+J106-(62177)</f>
        <v>28776</v>
      </c>
      <c r="G106" s="22"/>
      <c r="H106" s="56">
        <f>2161+7755+104287+833</f>
        <v>115036</v>
      </c>
      <c r="I106" s="278"/>
      <c r="J106" s="22">
        <f>1024+5831+84098</f>
        <v>90953</v>
      </c>
      <c r="K106" s="16"/>
      <c r="L106" s="22">
        <f>14604+10138+128669</f>
        <v>153411</v>
      </c>
      <c r="M106" s="16"/>
      <c r="N106" s="28"/>
      <c r="S106" s="74"/>
    </row>
    <row r="107" spans="1:19" ht="12.75">
      <c r="A107" s="4"/>
      <c r="B107" s="4" t="s">
        <v>0</v>
      </c>
      <c r="C107" s="2"/>
      <c r="D107" s="58">
        <f>SUM(D104:D106)</f>
        <v>78732</v>
      </c>
      <c r="E107" s="16"/>
      <c r="F107" s="29">
        <f>SUM(F104:F106)</f>
        <v>65067</v>
      </c>
      <c r="G107" s="30"/>
      <c r="H107" s="58">
        <f>SUM(H104:H106)</f>
        <v>209373</v>
      </c>
      <c r="I107" s="278"/>
      <c r="J107" s="29">
        <f>SUM(J104:J106)</f>
        <v>189209</v>
      </c>
      <c r="K107" s="31"/>
      <c r="L107" s="29">
        <f>SUM(L104:L106)</f>
        <v>285269</v>
      </c>
      <c r="M107" s="31"/>
      <c r="N107" s="30"/>
      <c r="S107" s="74"/>
    </row>
    <row r="108" spans="4:21" ht="12.75"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U108" s="16"/>
    </row>
    <row r="109" spans="1:21" ht="18" customHeight="1">
      <c r="A109" s="224" t="s">
        <v>179</v>
      </c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U109" s="16"/>
    </row>
    <row r="110" spans="1:21" ht="12.75">
      <c r="A110" s="213" t="s">
        <v>163</v>
      </c>
      <c r="D110" s="16"/>
      <c r="E110" s="16"/>
      <c r="F110" s="214"/>
      <c r="G110" s="214"/>
      <c r="H110" s="214"/>
      <c r="I110" s="214"/>
      <c r="J110" s="214"/>
      <c r="K110" s="16"/>
      <c r="L110" s="16"/>
      <c r="M110" s="16"/>
      <c r="N110" s="16"/>
      <c r="O110" s="16"/>
      <c r="P110" s="16"/>
      <c r="U110" s="16"/>
    </row>
    <row r="111" spans="1:21" ht="12.75">
      <c r="A111" s="214" t="s">
        <v>164</v>
      </c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U111" s="16"/>
    </row>
    <row r="112" spans="1:21" ht="12.75">
      <c r="A112" s="213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U112" s="16"/>
    </row>
    <row r="113" spans="1:21" ht="12.75">
      <c r="A113" s="214" t="s">
        <v>165</v>
      </c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U113" s="16"/>
    </row>
    <row r="114" spans="1:21" ht="12.75">
      <c r="A114" s="222" t="s">
        <v>180</v>
      </c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U114" s="16"/>
    </row>
    <row r="115" spans="1:21" ht="12.75">
      <c r="A115" s="222" t="s">
        <v>174</v>
      </c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U115" s="16"/>
    </row>
    <row r="116" spans="1:21" ht="12.75">
      <c r="A116" s="222" t="s">
        <v>175</v>
      </c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U116" s="16"/>
    </row>
    <row r="117" spans="1:21" ht="12.75">
      <c r="A117" s="213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U117" s="16"/>
    </row>
    <row r="118" spans="1:18" ht="15">
      <c r="A118" s="36" t="s">
        <v>102</v>
      </c>
      <c r="D118" s="88"/>
      <c r="E118" s="16"/>
      <c r="F118" s="16"/>
      <c r="G118" s="16"/>
      <c r="H118" s="16"/>
      <c r="I118" s="16"/>
      <c r="J118" s="16"/>
      <c r="K118" s="16"/>
      <c r="L118" s="16"/>
      <c r="M118" s="28"/>
      <c r="N118" s="28"/>
      <c r="O118" s="28"/>
      <c r="P118" s="28"/>
      <c r="Q118" s="28"/>
      <c r="R118" s="28"/>
    </row>
    <row r="119" spans="1:18" ht="13.5" thickBot="1">
      <c r="A119" s="6" t="s">
        <v>103</v>
      </c>
      <c r="B119" s="6"/>
      <c r="C119" s="6"/>
      <c r="D119" s="20"/>
      <c r="E119" s="20"/>
      <c r="F119" s="20"/>
      <c r="G119" s="20"/>
      <c r="H119" s="20"/>
      <c r="I119" s="20"/>
      <c r="J119" s="20"/>
      <c r="K119" s="20"/>
      <c r="L119" s="20"/>
      <c r="M119" s="28"/>
      <c r="N119" s="28"/>
      <c r="O119" s="28"/>
      <c r="P119" s="28"/>
      <c r="Q119" s="28"/>
      <c r="R119" s="28"/>
    </row>
    <row r="120" spans="4:18" ht="12.75">
      <c r="D120" s="309" t="s">
        <v>8</v>
      </c>
      <c r="E120" s="309"/>
      <c r="F120" s="309"/>
      <c r="G120" s="294"/>
      <c r="H120" s="306" t="s">
        <v>249</v>
      </c>
      <c r="I120" s="306"/>
      <c r="J120" s="306"/>
      <c r="K120" s="117"/>
      <c r="L120" s="28" t="s">
        <v>36</v>
      </c>
      <c r="M120" s="28"/>
      <c r="N120" s="28"/>
      <c r="O120" s="28"/>
      <c r="P120" s="63"/>
      <c r="Q120" s="28"/>
      <c r="R120" s="28"/>
    </row>
    <row r="121" spans="4:18" ht="12.75">
      <c r="D121" s="305" t="s">
        <v>248</v>
      </c>
      <c r="E121" s="305"/>
      <c r="F121" s="305"/>
      <c r="G121" s="1"/>
      <c r="H121" s="305" t="s">
        <v>248</v>
      </c>
      <c r="I121" s="305"/>
      <c r="J121" s="305"/>
      <c r="K121" s="64"/>
      <c r="L121" s="28" t="s">
        <v>6</v>
      </c>
      <c r="M121" s="28"/>
      <c r="N121" s="28"/>
      <c r="O121" s="28"/>
      <c r="P121" s="1"/>
      <c r="Q121" s="28"/>
      <c r="R121" s="28"/>
    </row>
    <row r="122" spans="1:16" ht="12.75">
      <c r="A122" s="13" t="s">
        <v>7</v>
      </c>
      <c r="B122" s="12"/>
      <c r="D122" s="54">
        <v>2010</v>
      </c>
      <c r="E122" s="121"/>
      <c r="F122" s="26">
        <v>2009</v>
      </c>
      <c r="G122" s="65"/>
      <c r="H122" s="276">
        <v>2010</v>
      </c>
      <c r="I122" s="121"/>
      <c r="J122" s="285">
        <v>2009</v>
      </c>
      <c r="K122" s="65"/>
      <c r="L122" s="54">
        <v>2009</v>
      </c>
      <c r="M122" s="28"/>
      <c r="N122" s="78"/>
      <c r="O122" s="28"/>
      <c r="P122" s="28"/>
    </row>
    <row r="123" spans="1:18" ht="12.75">
      <c r="A123" s="62"/>
      <c r="B123" s="5"/>
      <c r="D123" s="310" t="s">
        <v>5</v>
      </c>
      <c r="E123" s="310"/>
      <c r="F123" s="310"/>
      <c r="G123" s="310"/>
      <c r="H123" s="310"/>
      <c r="I123" s="310"/>
      <c r="J123" s="310"/>
      <c r="K123" s="310"/>
      <c r="L123" s="310"/>
      <c r="M123" s="263"/>
      <c r="N123" s="263"/>
      <c r="O123" s="203"/>
      <c r="P123" s="203"/>
      <c r="Q123" s="28"/>
      <c r="R123" s="28"/>
    </row>
    <row r="124" spans="1:16" ht="12.75">
      <c r="A124" s="2"/>
      <c r="B124" s="2" t="s">
        <v>104</v>
      </c>
      <c r="C124" s="2"/>
      <c r="D124" s="218">
        <f>+H124-538</f>
        <v>79880</v>
      </c>
      <c r="E124" s="24"/>
      <c r="F124" s="24">
        <f>+J124-98806</f>
        <v>52406</v>
      </c>
      <c r="G124" s="24"/>
      <c r="H124" s="218">
        <v>80418</v>
      </c>
      <c r="I124" s="288"/>
      <c r="J124" s="24">
        <f>48138+103074</f>
        <v>151212</v>
      </c>
      <c r="K124" s="24"/>
      <c r="L124" s="55">
        <f>48138+105086+391</f>
        <v>153615</v>
      </c>
      <c r="M124" s="28"/>
      <c r="N124" s="23"/>
      <c r="O124" s="28"/>
      <c r="P124" s="281"/>
    </row>
    <row r="125" spans="1:16" ht="12.75" hidden="1">
      <c r="A125" s="2"/>
      <c r="B125" s="2" t="s">
        <v>105</v>
      </c>
      <c r="C125" s="2"/>
      <c r="D125" s="56">
        <f>L125-0</f>
        <v>0</v>
      </c>
      <c r="E125" s="24"/>
      <c r="F125" s="43">
        <v>0</v>
      </c>
      <c r="G125" s="43"/>
      <c r="H125" s="56">
        <f>P125-0</f>
        <v>0</v>
      </c>
      <c r="I125" s="24"/>
      <c r="J125" s="43">
        <v>0</v>
      </c>
      <c r="K125" s="24"/>
      <c r="L125" s="59">
        <v>0</v>
      </c>
      <c r="M125" s="28"/>
      <c r="N125" s="28"/>
      <c r="O125" s="28"/>
      <c r="P125" s="28"/>
    </row>
    <row r="126" spans="1:16" ht="12.75" hidden="1">
      <c r="A126" s="2"/>
      <c r="B126" s="2" t="s">
        <v>106</v>
      </c>
      <c r="C126" s="2"/>
      <c r="D126" s="56">
        <f>L126-0</f>
        <v>0</v>
      </c>
      <c r="E126" s="22"/>
      <c r="F126" s="22">
        <v>0</v>
      </c>
      <c r="G126" s="22"/>
      <c r="H126" s="56">
        <f>P126-0</f>
        <v>0</v>
      </c>
      <c r="I126" s="22"/>
      <c r="J126" s="22">
        <v>0</v>
      </c>
      <c r="K126" s="22"/>
      <c r="L126" s="56">
        <v>0</v>
      </c>
      <c r="M126" s="28"/>
      <c r="N126" s="28"/>
      <c r="O126" s="28"/>
      <c r="P126" s="28"/>
    </row>
    <row r="127" spans="1:16" ht="12.75">
      <c r="A127" s="4"/>
      <c r="B127" s="4" t="s">
        <v>0</v>
      </c>
      <c r="C127" s="2"/>
      <c r="D127" s="58">
        <f>SUM(D124:D126)</f>
        <v>79880</v>
      </c>
      <c r="E127" s="22"/>
      <c r="F127" s="29">
        <f>SUM(F124:F126)</f>
        <v>52406</v>
      </c>
      <c r="G127" s="30"/>
      <c r="H127" s="58">
        <f>SUM(H124:H126)</f>
        <v>80418</v>
      </c>
      <c r="I127" s="22"/>
      <c r="J127" s="29">
        <f>SUM(J124:J126)</f>
        <v>151212</v>
      </c>
      <c r="K127" s="30"/>
      <c r="L127" s="58">
        <f>SUM(L124:L126)</f>
        <v>153615</v>
      </c>
      <c r="M127" s="28"/>
      <c r="N127" s="30"/>
      <c r="O127" s="28"/>
      <c r="P127" s="28"/>
    </row>
    <row r="128" spans="1:18" ht="12.75">
      <c r="A128" s="32"/>
      <c r="B128" s="32"/>
      <c r="C128" s="32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</row>
    <row r="129" spans="1:18" ht="12.75">
      <c r="A129" s="32"/>
      <c r="B129" s="32"/>
      <c r="C129" s="32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</row>
    <row r="130" spans="1:21" ht="15">
      <c r="A130" s="36" t="s">
        <v>101</v>
      </c>
      <c r="B130" s="25"/>
      <c r="C130" s="25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5"/>
      <c r="U130" s="22"/>
    </row>
    <row r="131" spans="1:21" ht="13.5" thickBot="1">
      <c r="A131" s="6" t="s">
        <v>16</v>
      </c>
      <c r="B131" s="6"/>
      <c r="C131" s="6"/>
      <c r="D131" s="20"/>
      <c r="E131" s="20"/>
      <c r="F131" s="20"/>
      <c r="G131" s="20"/>
      <c r="H131" s="20"/>
      <c r="I131" s="20"/>
      <c r="J131" s="20"/>
      <c r="K131" s="20"/>
      <c r="L131" s="20"/>
      <c r="M131" s="28"/>
      <c r="N131" s="28"/>
      <c r="O131" s="18"/>
      <c r="P131" s="18"/>
      <c r="U131" s="18"/>
    </row>
    <row r="132" spans="4:21" ht="12.75">
      <c r="D132" s="309" t="s">
        <v>8</v>
      </c>
      <c r="E132" s="309"/>
      <c r="F132" s="309"/>
      <c r="G132" s="294"/>
      <c r="H132" s="306" t="s">
        <v>249</v>
      </c>
      <c r="I132" s="306"/>
      <c r="J132" s="306"/>
      <c r="K132" s="117"/>
      <c r="L132" s="28" t="s">
        <v>36</v>
      </c>
      <c r="M132" s="255"/>
      <c r="N132" s="255"/>
      <c r="O132" s="63"/>
      <c r="P132" s="1"/>
      <c r="Q132" s="64"/>
      <c r="R132" s="64"/>
      <c r="U132" s="63"/>
    </row>
    <row r="133" spans="4:21" ht="12.75">
      <c r="D133" s="305" t="s">
        <v>248</v>
      </c>
      <c r="E133" s="305"/>
      <c r="F133" s="305"/>
      <c r="G133" s="1"/>
      <c r="H133" s="305" t="s">
        <v>248</v>
      </c>
      <c r="I133" s="305"/>
      <c r="J133" s="305"/>
      <c r="K133" s="64"/>
      <c r="L133" s="28" t="s">
        <v>6</v>
      </c>
      <c r="M133" s="255"/>
      <c r="N133" s="255"/>
      <c r="O133" s="1"/>
      <c r="P133" s="1"/>
      <c r="Q133" s="64"/>
      <c r="R133" s="64"/>
      <c r="U133" s="1"/>
    </row>
    <row r="134" spans="1:19" ht="12.75">
      <c r="A134" s="13" t="s">
        <v>7</v>
      </c>
      <c r="B134" s="12"/>
      <c r="D134" s="54">
        <v>2010</v>
      </c>
      <c r="E134" s="121"/>
      <c r="F134" s="26">
        <v>2009</v>
      </c>
      <c r="G134" s="65"/>
      <c r="H134" s="276">
        <v>2010</v>
      </c>
      <c r="I134" s="121"/>
      <c r="J134" s="285">
        <v>2009</v>
      </c>
      <c r="K134" s="65"/>
      <c r="L134" s="260">
        <v>2009</v>
      </c>
      <c r="M134" s="65"/>
      <c r="N134" s="78"/>
      <c r="O134" s="78"/>
      <c r="P134" s="78"/>
      <c r="S134" s="74"/>
    </row>
    <row r="135" spans="1:18" ht="12.75">
      <c r="A135" s="62"/>
      <c r="B135" s="5"/>
      <c r="D135" s="308" t="s">
        <v>5</v>
      </c>
      <c r="E135" s="308"/>
      <c r="F135" s="308"/>
      <c r="G135" s="308"/>
      <c r="H135" s="308"/>
      <c r="I135" s="308"/>
      <c r="J135" s="308"/>
      <c r="K135" s="308"/>
      <c r="L135" s="308"/>
      <c r="M135" s="261"/>
      <c r="N135" s="261"/>
      <c r="O135" s="200"/>
      <c r="P135" s="200"/>
      <c r="Q135" s="308"/>
      <c r="R135" s="308"/>
    </row>
    <row r="136" spans="1:19" ht="12.75">
      <c r="A136" s="2"/>
      <c r="B136" s="2" t="s">
        <v>17</v>
      </c>
      <c r="C136" s="2"/>
      <c r="D136" s="55">
        <f>+H136--29427</f>
        <v>-13165</v>
      </c>
      <c r="E136" s="14"/>
      <c r="F136" s="24">
        <f>+J136--38485</f>
        <v>-16281</v>
      </c>
      <c r="G136" s="24"/>
      <c r="H136" s="218">
        <v>-42592</v>
      </c>
      <c r="I136" s="256"/>
      <c r="J136" s="24">
        <v>-54766</v>
      </c>
      <c r="K136" s="24"/>
      <c r="L136" s="24">
        <f>-70169-303</f>
        <v>-70472</v>
      </c>
      <c r="M136" s="17"/>
      <c r="N136" s="23"/>
      <c r="S136" s="74"/>
    </row>
    <row r="137" spans="1:19" ht="12.75">
      <c r="A137" s="2"/>
      <c r="B137" s="2" t="s">
        <v>35</v>
      </c>
      <c r="C137" s="2"/>
      <c r="D137" s="56">
        <f>+H137-2168</f>
        <v>2113</v>
      </c>
      <c r="E137" s="16"/>
      <c r="F137" s="22">
        <f>+J137-3389</f>
        <v>2282</v>
      </c>
      <c r="G137" s="22"/>
      <c r="H137" s="56">
        <v>4281</v>
      </c>
      <c r="I137" s="278"/>
      <c r="J137" s="22">
        <v>5671</v>
      </c>
      <c r="K137" s="16"/>
      <c r="L137" s="22">
        <v>6000</v>
      </c>
      <c r="M137" s="18"/>
      <c r="N137" s="28"/>
      <c r="S137" s="74"/>
    </row>
    <row r="138" spans="1:19" ht="12.75">
      <c r="A138" s="2"/>
      <c r="B138" s="2" t="s">
        <v>31</v>
      </c>
      <c r="C138" s="2"/>
      <c r="D138" s="56">
        <f>+H138-2535</f>
        <v>0</v>
      </c>
      <c r="E138" s="16"/>
      <c r="F138" s="22">
        <f>+J138-14329</f>
        <v>3133</v>
      </c>
      <c r="G138" s="22"/>
      <c r="H138" s="56">
        <v>2535</v>
      </c>
      <c r="I138" s="278"/>
      <c r="J138" s="22">
        <v>17462</v>
      </c>
      <c r="K138" s="16"/>
      <c r="L138" s="22">
        <f>18324+916</f>
        <v>19240</v>
      </c>
      <c r="M138" s="18"/>
      <c r="N138" s="28"/>
      <c r="S138" s="74"/>
    </row>
    <row r="139" spans="1:19" ht="12.75">
      <c r="A139" s="4"/>
      <c r="B139" s="4" t="s">
        <v>0</v>
      </c>
      <c r="C139" s="2"/>
      <c r="D139" s="58">
        <f>SUM(D136:D138)</f>
        <v>-11052</v>
      </c>
      <c r="E139" s="16"/>
      <c r="F139" s="29">
        <f>SUM(F136:F138)</f>
        <v>-10866</v>
      </c>
      <c r="G139" s="30"/>
      <c r="H139" s="58">
        <f>SUM(H136:H138)</f>
        <v>-35776</v>
      </c>
      <c r="I139" s="16"/>
      <c r="J139" s="29">
        <f>SUM(J136:J138)</f>
        <v>-31633</v>
      </c>
      <c r="K139" s="31"/>
      <c r="L139" s="29">
        <f>SUM(L136:L138)</f>
        <v>-45232</v>
      </c>
      <c r="M139" s="31"/>
      <c r="N139" s="30"/>
      <c r="S139" s="74"/>
    </row>
    <row r="140" spans="1:21" ht="12.75">
      <c r="A140" s="19" t="s">
        <v>7</v>
      </c>
      <c r="B140" s="19" t="s">
        <v>7</v>
      </c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8"/>
      <c r="P140" s="18"/>
      <c r="U140" s="16"/>
    </row>
    <row r="141" spans="1:21" ht="12.75">
      <c r="A141" s="5"/>
      <c r="B141" s="5"/>
      <c r="D141" s="30"/>
      <c r="E141" s="22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16"/>
      <c r="R141" s="30"/>
      <c r="S141" s="16"/>
      <c r="T141" s="16"/>
      <c r="U141" s="16"/>
    </row>
    <row r="142" spans="1:21" ht="15">
      <c r="A142" s="36" t="s">
        <v>115</v>
      </c>
      <c r="B142" s="25"/>
      <c r="C142" s="25"/>
      <c r="D142" s="185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</row>
    <row r="143" spans="1:21" ht="13.5" thickBot="1">
      <c r="A143" s="6" t="s">
        <v>117</v>
      </c>
      <c r="B143" s="6"/>
      <c r="C143" s="6"/>
      <c r="D143" s="20"/>
      <c r="E143" s="20"/>
      <c r="F143" s="49" t="s">
        <v>7</v>
      </c>
      <c r="G143" s="49"/>
      <c r="H143" s="49"/>
      <c r="I143" s="49"/>
      <c r="J143" s="49"/>
      <c r="K143" s="49"/>
      <c r="L143" s="49"/>
      <c r="M143" s="28"/>
      <c r="N143" s="28"/>
      <c r="O143" s="28"/>
      <c r="P143" s="28"/>
      <c r="U143" s="28"/>
    </row>
    <row r="144" spans="1:21" ht="12.75">
      <c r="A144" s="5"/>
      <c r="B144" s="5"/>
      <c r="C144" s="5"/>
      <c r="D144" s="309" t="s">
        <v>8</v>
      </c>
      <c r="E144" s="309"/>
      <c r="F144" s="309"/>
      <c r="G144" s="294"/>
      <c r="H144" s="306" t="s">
        <v>249</v>
      </c>
      <c r="I144" s="306"/>
      <c r="J144" s="306"/>
      <c r="K144" s="117"/>
      <c r="L144" s="1" t="s">
        <v>36</v>
      </c>
      <c r="M144" s="1"/>
      <c r="N144" s="1"/>
      <c r="O144" s="63"/>
      <c r="P144" s="1"/>
      <c r="Q144" s="314"/>
      <c r="R144" s="314"/>
      <c r="U144" s="63"/>
    </row>
    <row r="145" spans="4:21" ht="12.75">
      <c r="D145" s="305" t="s">
        <v>248</v>
      </c>
      <c r="E145" s="305"/>
      <c r="F145" s="305"/>
      <c r="G145" s="1"/>
      <c r="H145" s="305" t="s">
        <v>248</v>
      </c>
      <c r="I145" s="305"/>
      <c r="J145" s="305"/>
      <c r="K145" s="64"/>
      <c r="L145" s="1" t="s">
        <v>6</v>
      </c>
      <c r="M145" s="1"/>
      <c r="N145" s="1"/>
      <c r="O145" s="1"/>
      <c r="P145" s="1"/>
      <c r="Q145" s="313"/>
      <c r="R145" s="313"/>
      <c r="U145" s="1"/>
    </row>
    <row r="146" spans="1:21" ht="12.75">
      <c r="A146" s="13" t="s">
        <v>7</v>
      </c>
      <c r="B146" s="12"/>
      <c r="D146" s="54">
        <v>2010</v>
      </c>
      <c r="E146" s="121"/>
      <c r="F146" s="26">
        <v>2009</v>
      </c>
      <c r="G146" s="65"/>
      <c r="H146" s="276">
        <v>2010</v>
      </c>
      <c r="I146" s="121"/>
      <c r="J146" s="285">
        <v>2009</v>
      </c>
      <c r="K146" s="65"/>
      <c r="L146" s="260">
        <v>2009</v>
      </c>
      <c r="M146" s="107"/>
      <c r="N146" s="65"/>
      <c r="O146" s="65"/>
      <c r="P146" s="78"/>
      <c r="Q146" s="78"/>
      <c r="R146" s="65"/>
      <c r="U146" s="74"/>
    </row>
    <row r="147" spans="1:18" ht="12.75">
      <c r="A147" s="62"/>
      <c r="B147" s="5"/>
      <c r="D147" s="308" t="s">
        <v>5</v>
      </c>
      <c r="E147" s="308"/>
      <c r="F147" s="308"/>
      <c r="G147" s="308"/>
      <c r="H147" s="308"/>
      <c r="I147" s="308"/>
      <c r="J147" s="308"/>
      <c r="K147" s="308"/>
      <c r="L147" s="308"/>
      <c r="M147" s="261"/>
      <c r="N147" s="261"/>
      <c r="O147" s="200"/>
      <c r="P147" s="200"/>
      <c r="Q147" s="308"/>
      <c r="R147" s="308"/>
    </row>
    <row r="148" spans="1:21" ht="12.75">
      <c r="A148" s="2"/>
      <c r="B148" s="2" t="s">
        <v>118</v>
      </c>
      <c r="C148" t="s">
        <v>7</v>
      </c>
      <c r="D148" s="130">
        <f>+H148-3489</f>
        <v>1434</v>
      </c>
      <c r="E148" s="216"/>
      <c r="F148" s="108">
        <v>1931</v>
      </c>
      <c r="G148" s="108"/>
      <c r="H148" s="130">
        <v>4923</v>
      </c>
      <c r="I148" s="216"/>
      <c r="J148" s="108">
        <f>+F148+2676</f>
        <v>4607</v>
      </c>
      <c r="K148" s="108"/>
      <c r="L148" s="108">
        <v>7238</v>
      </c>
      <c r="M148" s="262"/>
      <c r="N148" s="104"/>
      <c r="O148" s="39"/>
      <c r="P148" s="104"/>
      <c r="U148" s="74"/>
    </row>
    <row r="149" spans="1:21" ht="12.75">
      <c r="A149" s="2"/>
      <c r="B149" s="25" t="s">
        <v>83</v>
      </c>
      <c r="D149" s="59">
        <f>+H149-0</f>
        <v>0</v>
      </c>
      <c r="E149" s="192"/>
      <c r="F149" s="43">
        <v>0</v>
      </c>
      <c r="G149" s="43"/>
      <c r="H149" s="59">
        <v>0</v>
      </c>
      <c r="I149" s="192"/>
      <c r="J149" s="43">
        <f>+F149+3778</f>
        <v>3778</v>
      </c>
      <c r="K149" s="43"/>
      <c r="L149" s="43">
        <v>3778</v>
      </c>
      <c r="M149" s="82"/>
      <c r="N149" s="51"/>
      <c r="O149" s="43"/>
      <c r="P149" s="51"/>
      <c r="U149" s="74"/>
    </row>
    <row r="150" spans="1:21" ht="12.75">
      <c r="A150" s="2"/>
      <c r="B150" s="25" t="s">
        <v>116</v>
      </c>
      <c r="D150" s="59">
        <f>+H150-3044</f>
        <v>0</v>
      </c>
      <c r="E150" s="2"/>
      <c r="F150" s="43">
        <v>8202</v>
      </c>
      <c r="G150" s="43"/>
      <c r="H150" s="59">
        <v>3044</v>
      </c>
      <c r="I150" s="2"/>
      <c r="J150" s="43">
        <f>+F150+409</f>
        <v>8611</v>
      </c>
      <c r="K150" s="25"/>
      <c r="L150" s="43">
        <v>8671</v>
      </c>
      <c r="M150" s="32"/>
      <c r="N150" s="51"/>
      <c r="O150" s="25"/>
      <c r="P150" s="51"/>
      <c r="U150" s="74"/>
    </row>
    <row r="151" spans="1:21" ht="12.75">
      <c r="A151" s="2"/>
      <c r="B151" s="25" t="s">
        <v>214</v>
      </c>
      <c r="D151" s="59">
        <f>+H151-711</f>
        <v>0</v>
      </c>
      <c r="E151" s="2"/>
      <c r="F151" s="43">
        <v>3053</v>
      </c>
      <c r="G151" s="43"/>
      <c r="H151" s="59">
        <v>711</v>
      </c>
      <c r="I151" s="2"/>
      <c r="J151" s="43">
        <f>+F151+0</f>
        <v>3053</v>
      </c>
      <c r="K151" s="25"/>
      <c r="L151" s="43">
        <v>3749</v>
      </c>
      <c r="M151" s="32"/>
      <c r="N151" s="51"/>
      <c r="O151" s="25"/>
      <c r="P151" s="51"/>
      <c r="U151" s="74"/>
    </row>
    <row r="152" spans="1:21" ht="12.75">
      <c r="A152" s="2"/>
      <c r="B152" s="25" t="s">
        <v>30</v>
      </c>
      <c r="C152" s="25"/>
      <c r="D152" s="56">
        <f>+H152-919</f>
        <v>-49</v>
      </c>
      <c r="E152" s="22"/>
      <c r="F152" s="22">
        <f>1243+468</f>
        <v>1711</v>
      </c>
      <c r="G152" s="22"/>
      <c r="H152" s="56">
        <f>712+158</f>
        <v>870</v>
      </c>
      <c r="I152" s="22"/>
      <c r="J152" s="43">
        <f>+F152+515</f>
        <v>2226</v>
      </c>
      <c r="K152" s="22"/>
      <c r="L152" s="22">
        <f>470+583</f>
        <v>1053</v>
      </c>
      <c r="M152" s="28"/>
      <c r="N152" s="28"/>
      <c r="O152" s="22"/>
      <c r="P152" s="28"/>
      <c r="R152" s="158" t="s">
        <v>7</v>
      </c>
      <c r="U152" s="74"/>
    </row>
    <row r="153" spans="1:21" ht="12.75">
      <c r="A153" s="4"/>
      <c r="B153" s="4" t="s">
        <v>0</v>
      </c>
      <c r="C153" s="2"/>
      <c r="D153" s="58">
        <f>SUM(D148:D152)</f>
        <v>1385</v>
      </c>
      <c r="E153" s="16"/>
      <c r="F153" s="29">
        <f>SUM(F148:F152)</f>
        <v>14897</v>
      </c>
      <c r="G153" s="30"/>
      <c r="H153" s="58">
        <f>SUM(H148:H152)</f>
        <v>9548</v>
      </c>
      <c r="I153" s="16"/>
      <c r="J153" s="29">
        <f>SUM(J148:J152)</f>
        <v>22275</v>
      </c>
      <c r="K153" s="30"/>
      <c r="L153" s="29">
        <f>SUM(L148:L152)</f>
        <v>24489</v>
      </c>
      <c r="M153" s="28"/>
      <c r="N153" s="30"/>
      <c r="O153" s="30"/>
      <c r="P153" s="30"/>
      <c r="U153" s="74"/>
    </row>
    <row r="154" spans="1:21" ht="12.75">
      <c r="A154" s="5"/>
      <c r="B154" s="5"/>
      <c r="D154" s="30"/>
      <c r="E154" s="22"/>
      <c r="F154" s="30"/>
      <c r="G154" s="30"/>
      <c r="H154" s="30"/>
      <c r="I154" s="30"/>
      <c r="J154" s="30"/>
      <c r="K154" s="30"/>
      <c r="L154" s="187"/>
      <c r="M154" s="16"/>
      <c r="N154" s="30"/>
      <c r="O154" s="30"/>
      <c r="P154" s="30"/>
      <c r="U154" s="74"/>
    </row>
    <row r="155" spans="1:21" ht="12.75">
      <c r="A155" s="5"/>
      <c r="B155" s="5"/>
      <c r="D155" s="85"/>
      <c r="E155" s="16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U155" s="74"/>
    </row>
    <row r="156" spans="1:21" ht="15">
      <c r="A156" s="36" t="s">
        <v>121</v>
      </c>
      <c r="B156" s="25"/>
      <c r="C156" s="25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</row>
    <row r="157" spans="1:21" ht="13.5" thickBot="1">
      <c r="A157" s="6" t="s">
        <v>120</v>
      </c>
      <c r="B157" s="6"/>
      <c r="C157" s="6"/>
      <c r="D157" s="20"/>
      <c r="E157" s="20"/>
      <c r="F157" s="49" t="s">
        <v>7</v>
      </c>
      <c r="G157" s="49"/>
      <c r="H157" s="49"/>
      <c r="I157" s="49"/>
      <c r="J157" s="49"/>
      <c r="K157" s="49"/>
      <c r="L157" s="49"/>
      <c r="M157" s="28"/>
      <c r="N157" s="28"/>
      <c r="O157" s="28"/>
      <c r="P157" s="28"/>
      <c r="U157" s="28"/>
    </row>
    <row r="158" spans="1:21" ht="12.75">
      <c r="A158" s="5"/>
      <c r="B158" s="5"/>
      <c r="C158" s="5"/>
      <c r="D158" s="309" t="s">
        <v>8</v>
      </c>
      <c r="E158" s="309"/>
      <c r="F158" s="309"/>
      <c r="G158" s="294"/>
      <c r="H158" s="306" t="s">
        <v>249</v>
      </c>
      <c r="I158" s="306"/>
      <c r="J158" s="306"/>
      <c r="K158" s="117"/>
      <c r="L158" s="78" t="s">
        <v>36</v>
      </c>
      <c r="M158" s="78"/>
      <c r="N158" s="78"/>
      <c r="O158" s="63"/>
      <c r="P158" s="1"/>
      <c r="Q158" s="314"/>
      <c r="R158" s="314"/>
      <c r="U158" s="63"/>
    </row>
    <row r="159" spans="4:21" ht="12.75">
      <c r="D159" s="305" t="s">
        <v>248</v>
      </c>
      <c r="E159" s="305"/>
      <c r="F159" s="305"/>
      <c r="G159" s="1"/>
      <c r="H159" s="305" t="s">
        <v>248</v>
      </c>
      <c r="I159" s="305"/>
      <c r="J159" s="305"/>
      <c r="K159" s="64"/>
      <c r="L159" s="78" t="s">
        <v>6</v>
      </c>
      <c r="M159" s="78"/>
      <c r="N159" s="78"/>
      <c r="O159" s="1"/>
      <c r="P159" s="1"/>
      <c r="Q159" s="313"/>
      <c r="R159" s="313"/>
      <c r="U159" s="1"/>
    </row>
    <row r="160" spans="1:21" ht="12.75">
      <c r="A160" s="13" t="s">
        <v>7</v>
      </c>
      <c r="B160" s="12"/>
      <c r="D160" s="54">
        <v>2010</v>
      </c>
      <c r="E160" s="121"/>
      <c r="F160" s="26">
        <v>2009</v>
      </c>
      <c r="G160" s="65"/>
      <c r="H160" s="276">
        <v>2010</v>
      </c>
      <c r="I160" s="121"/>
      <c r="J160" s="285">
        <v>2009</v>
      </c>
      <c r="K160" s="65"/>
      <c r="L160" s="260">
        <v>2009</v>
      </c>
      <c r="M160" s="107"/>
      <c r="N160" s="65"/>
      <c r="O160" s="65"/>
      <c r="P160" s="78"/>
      <c r="Q160" s="78"/>
      <c r="R160" s="65"/>
      <c r="U160" s="74"/>
    </row>
    <row r="161" spans="1:18" ht="12.75">
      <c r="A161" s="62"/>
      <c r="B161" s="5"/>
      <c r="D161" s="308" t="s">
        <v>5</v>
      </c>
      <c r="E161" s="308"/>
      <c r="F161" s="308"/>
      <c r="G161" s="308"/>
      <c r="H161" s="308"/>
      <c r="I161" s="308"/>
      <c r="J161" s="308"/>
      <c r="K161" s="308"/>
      <c r="L161" s="308"/>
      <c r="M161" s="261"/>
      <c r="N161" s="261"/>
      <c r="O161" s="200"/>
      <c r="P161" s="200"/>
      <c r="Q161" s="308"/>
      <c r="R161" s="308"/>
    </row>
    <row r="162" spans="1:21" ht="12.75">
      <c r="A162" s="2"/>
      <c r="B162" s="25" t="s">
        <v>236</v>
      </c>
      <c r="D162" s="218">
        <f>+H162--7029</f>
        <v>0</v>
      </c>
      <c r="E162" s="99"/>
      <c r="F162" s="24">
        <v>0</v>
      </c>
      <c r="G162" s="108"/>
      <c r="H162" s="130">
        <v>-7029</v>
      </c>
      <c r="I162" s="292"/>
      <c r="J162" s="24">
        <f>+F162+0</f>
        <v>0</v>
      </c>
      <c r="K162" s="108"/>
      <c r="L162" s="24">
        <v>0</v>
      </c>
      <c r="M162" s="105"/>
      <c r="N162" s="104"/>
      <c r="O162" s="104"/>
      <c r="P162" s="104"/>
      <c r="U162" s="74"/>
    </row>
    <row r="163" spans="1:21" ht="12.75">
      <c r="A163" s="2"/>
      <c r="B163" s="25" t="s">
        <v>241</v>
      </c>
      <c r="D163" s="59">
        <f>+H163--1229</f>
        <v>0</v>
      </c>
      <c r="E163" s="99"/>
      <c r="F163" s="43">
        <v>0</v>
      </c>
      <c r="G163" s="108"/>
      <c r="H163" s="59">
        <v>-1229</v>
      </c>
      <c r="I163" s="292"/>
      <c r="J163" s="43">
        <f>+F163+0</f>
        <v>0</v>
      </c>
      <c r="K163" s="108"/>
      <c r="L163" s="43">
        <v>0</v>
      </c>
      <c r="M163" s="105"/>
      <c r="N163" s="104"/>
      <c r="O163" s="104"/>
      <c r="P163" s="104"/>
      <c r="U163" s="74"/>
    </row>
    <row r="164" spans="1:21" ht="12.75" hidden="1">
      <c r="A164" s="2"/>
      <c r="B164" s="25" t="s">
        <v>111</v>
      </c>
      <c r="D164" s="59"/>
      <c r="F164" s="43"/>
      <c r="G164" s="43"/>
      <c r="H164" s="59"/>
      <c r="I164" s="252"/>
      <c r="J164" s="43">
        <f>+F164</f>
        <v>0</v>
      </c>
      <c r="K164" s="25"/>
      <c r="L164" s="43">
        <v>0</v>
      </c>
      <c r="M164" s="5"/>
      <c r="N164" s="51"/>
      <c r="O164" s="104"/>
      <c r="P164" s="104"/>
      <c r="U164" s="74"/>
    </row>
    <row r="165" spans="1:21" ht="12.75">
      <c r="A165" s="2"/>
      <c r="B165" s="25" t="s">
        <v>232</v>
      </c>
      <c r="D165" s="59">
        <v>0</v>
      </c>
      <c r="E165" s="2"/>
      <c r="F165" s="43">
        <v>0</v>
      </c>
      <c r="G165" s="43"/>
      <c r="H165" s="59">
        <v>0</v>
      </c>
      <c r="I165" s="252"/>
      <c r="J165" s="43">
        <v>0</v>
      </c>
      <c r="K165" s="25"/>
      <c r="L165" s="43">
        <v>-6895</v>
      </c>
      <c r="M165" s="5"/>
      <c r="N165" s="51"/>
      <c r="O165" s="104"/>
      <c r="P165" s="104"/>
      <c r="U165" s="74"/>
    </row>
    <row r="166" spans="1:14" ht="12.75">
      <c r="A166" s="2"/>
      <c r="B166" s="25" t="s">
        <v>30</v>
      </c>
      <c r="C166" s="25"/>
      <c r="D166" s="56">
        <f>+H166--4309</f>
        <v>-4438</v>
      </c>
      <c r="E166" s="22"/>
      <c r="F166" s="22">
        <v>-3363</v>
      </c>
      <c r="G166" s="22"/>
      <c r="H166" s="56">
        <f>-17005-H163-H162</f>
        <v>-8747</v>
      </c>
      <c r="I166" s="289"/>
      <c r="J166" s="43">
        <f>+F166-3755</f>
        <v>-7118</v>
      </c>
      <c r="K166" s="22"/>
      <c r="L166" s="22">
        <f>-11117-L165</f>
        <v>-4222</v>
      </c>
      <c r="M166" s="28"/>
      <c r="N166" s="28"/>
    </row>
    <row r="167" spans="1:14" ht="12.75">
      <c r="A167" s="4"/>
      <c r="B167" s="4" t="s">
        <v>0</v>
      </c>
      <c r="C167" s="2"/>
      <c r="D167" s="58">
        <f>SUM(D162:D166)</f>
        <v>-4438</v>
      </c>
      <c r="E167" s="16"/>
      <c r="F167" s="29">
        <f>SUM(F162:F166)</f>
        <v>-3363</v>
      </c>
      <c r="G167" s="30"/>
      <c r="H167" s="58">
        <f>SUM(H162:H166)</f>
        <v>-17005</v>
      </c>
      <c r="I167" s="16"/>
      <c r="J167" s="29">
        <f>SUM(J162:J166)</f>
        <v>-7118</v>
      </c>
      <c r="K167" s="30"/>
      <c r="L167" s="29">
        <f>SUM(L162:L166)</f>
        <v>-11117</v>
      </c>
      <c r="M167" s="18"/>
      <c r="N167" s="30"/>
    </row>
    <row r="168" spans="1:14" ht="12.75">
      <c r="A168" s="5"/>
      <c r="B168" s="5"/>
      <c r="D168" s="85"/>
      <c r="E168" s="16"/>
      <c r="F168" s="30"/>
      <c r="G168" s="30"/>
      <c r="H168" s="30"/>
      <c r="I168" s="30"/>
      <c r="J168" s="30"/>
      <c r="K168" s="30"/>
      <c r="L168" s="30"/>
      <c r="M168" s="30"/>
      <c r="N168" s="30"/>
    </row>
    <row r="169" spans="3:14" ht="12.75">
      <c r="C169" s="79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</row>
    <row r="170" spans="1:14" ht="15">
      <c r="A170" s="36" t="s">
        <v>112</v>
      </c>
      <c r="B170" s="25"/>
      <c r="C170" s="86"/>
      <c r="D170" s="92" t="s">
        <v>7</v>
      </c>
      <c r="E170" s="71"/>
      <c r="F170" s="92" t="s">
        <v>7</v>
      </c>
      <c r="G170" s="92"/>
      <c r="H170" s="92"/>
      <c r="I170" s="92"/>
      <c r="J170" s="92"/>
      <c r="K170" s="22"/>
      <c r="L170" s="22"/>
      <c r="M170" s="22"/>
      <c r="N170" s="22"/>
    </row>
    <row r="171" spans="1:13" ht="13.5" thickBot="1">
      <c r="A171" s="37" t="s">
        <v>84</v>
      </c>
      <c r="B171" s="37"/>
      <c r="C171" s="37"/>
      <c r="D171" s="49"/>
      <c r="E171" s="49"/>
      <c r="F171" s="49"/>
      <c r="G171" s="49"/>
      <c r="H171" s="49"/>
      <c r="I171" s="28"/>
      <c r="J171" s="28"/>
      <c r="K171" s="28"/>
      <c r="L171" s="28"/>
      <c r="M171" s="22"/>
    </row>
    <row r="172" spans="1:14" ht="12.75">
      <c r="A172" s="45" t="s">
        <v>7</v>
      </c>
      <c r="B172" s="98"/>
      <c r="C172" s="25"/>
      <c r="D172" s="305" t="s">
        <v>248</v>
      </c>
      <c r="E172" s="305"/>
      <c r="F172" s="305"/>
      <c r="G172" s="1"/>
      <c r="H172" s="264" t="s">
        <v>69</v>
      </c>
      <c r="I172" s="265"/>
      <c r="J172" s="265"/>
      <c r="N172" s="22"/>
    </row>
    <row r="173" spans="1:14" ht="12.75">
      <c r="A173" s="61"/>
      <c r="B173" s="32"/>
      <c r="C173" s="25"/>
      <c r="D173" s="54">
        <v>2010</v>
      </c>
      <c r="E173" s="11"/>
      <c r="F173" s="26">
        <v>2009</v>
      </c>
      <c r="G173" s="65"/>
      <c r="H173" s="260">
        <v>2009</v>
      </c>
      <c r="I173" s="22"/>
      <c r="N173" s="22"/>
    </row>
    <row r="174" spans="1:14" ht="12.75">
      <c r="A174" s="61"/>
      <c r="B174" s="32"/>
      <c r="C174" s="25"/>
      <c r="D174" s="315" t="s">
        <v>5</v>
      </c>
      <c r="E174" s="315"/>
      <c r="F174" s="315"/>
      <c r="G174" s="315"/>
      <c r="H174" s="315"/>
      <c r="I174" s="22"/>
      <c r="N174" s="22"/>
    </row>
    <row r="175" spans="1:14" ht="12.75">
      <c r="A175" s="32"/>
      <c r="B175" s="32" t="s">
        <v>85</v>
      </c>
      <c r="C175" s="32"/>
      <c r="D175" s="130">
        <v>0</v>
      </c>
      <c r="E175" s="289"/>
      <c r="F175" s="108">
        <v>874</v>
      </c>
      <c r="G175" s="108"/>
      <c r="H175" s="108">
        <v>0</v>
      </c>
      <c r="I175" s="22"/>
      <c r="N175" s="22"/>
    </row>
    <row r="176" spans="1:14" ht="12.75">
      <c r="A176" s="32"/>
      <c r="B176" s="32" t="s">
        <v>26</v>
      </c>
      <c r="C176" s="32"/>
      <c r="D176" s="57">
        <v>175.09605506046162</v>
      </c>
      <c r="E176" s="281"/>
      <c r="F176" s="28">
        <v>1192</v>
      </c>
      <c r="G176" s="28"/>
      <c r="H176" s="28">
        <v>1044</v>
      </c>
      <c r="I176" s="22"/>
      <c r="N176" s="22"/>
    </row>
    <row r="177" spans="1:14" ht="12.75">
      <c r="A177" s="32"/>
      <c r="B177" s="32" t="s">
        <v>28</v>
      </c>
      <c r="C177" s="32"/>
      <c r="D177" s="57">
        <v>818.0764274037405</v>
      </c>
      <c r="E177" s="281"/>
      <c r="F177" s="28">
        <v>474</v>
      </c>
      <c r="G177" s="28"/>
      <c r="H177" s="28">
        <v>1796</v>
      </c>
      <c r="I177" s="28"/>
      <c r="N177" s="28"/>
    </row>
    <row r="178" spans="1:14" ht="12.75">
      <c r="A178" s="32"/>
      <c r="B178" s="32" t="s">
        <v>37</v>
      </c>
      <c r="C178" s="32"/>
      <c r="D178" s="57">
        <v>6424.798240978242</v>
      </c>
      <c r="E178" s="281"/>
      <c r="F178" s="28">
        <v>15036</v>
      </c>
      <c r="G178" s="28"/>
      <c r="H178" s="28">
        <v>8785</v>
      </c>
      <c r="I178" s="28"/>
      <c r="N178" s="28"/>
    </row>
    <row r="179" spans="1:14" ht="12.75">
      <c r="A179" s="32"/>
      <c r="B179" s="32" t="s">
        <v>57</v>
      </c>
      <c r="C179" s="32"/>
      <c r="D179" s="57">
        <v>37953.10741050964</v>
      </c>
      <c r="E179" s="281"/>
      <c r="F179" s="28">
        <v>92617</v>
      </c>
      <c r="G179" s="28"/>
      <c r="H179" s="28">
        <v>46925</v>
      </c>
      <c r="I179" s="32"/>
      <c r="N179" s="28"/>
    </row>
    <row r="180" spans="1:14" ht="12.75">
      <c r="A180" s="32"/>
      <c r="B180" s="32" t="s">
        <v>86</v>
      </c>
      <c r="C180" s="32"/>
      <c r="D180" s="57">
        <v>140874.53833338112</v>
      </c>
      <c r="E180" s="281"/>
      <c r="F180" s="28">
        <v>108960</v>
      </c>
      <c r="G180" s="28"/>
      <c r="H180" s="28">
        <v>160978</v>
      </c>
      <c r="I180" s="32"/>
      <c r="N180" s="28"/>
    </row>
    <row r="181" spans="1:14" ht="12.75">
      <c r="A181" s="98"/>
      <c r="B181" s="98" t="s">
        <v>228</v>
      </c>
      <c r="C181" s="25"/>
      <c r="D181" s="295">
        <v>34644.65913750001</v>
      </c>
      <c r="E181" s="289"/>
      <c r="F181" s="27">
        <v>0</v>
      </c>
      <c r="G181" s="28"/>
      <c r="H181" s="27">
        <v>0</v>
      </c>
      <c r="I181" s="22"/>
      <c r="N181" s="22"/>
    </row>
    <row r="182" spans="1:14" ht="12.75">
      <c r="A182" s="25"/>
      <c r="B182" s="25" t="s">
        <v>27</v>
      </c>
      <c r="C182" s="25"/>
      <c r="D182" s="56">
        <f>SUM(D175:D181)</f>
        <v>220890.2756048332</v>
      </c>
      <c r="E182" s="289"/>
      <c r="F182" s="22">
        <f>SUM(F175:F181)</f>
        <v>219153</v>
      </c>
      <c r="G182" s="22"/>
      <c r="H182" s="22">
        <f>SUM(H175:H181)</f>
        <v>219528</v>
      </c>
      <c r="I182" s="22"/>
      <c r="N182" s="22"/>
    </row>
    <row r="183" spans="1:14" ht="12.75">
      <c r="A183" s="25"/>
      <c r="B183" s="25" t="s">
        <v>29</v>
      </c>
      <c r="C183" s="25"/>
      <c r="D183" s="56">
        <v>134651.02604</v>
      </c>
      <c r="E183" s="289"/>
      <c r="F183" s="22">
        <v>140065</v>
      </c>
      <c r="G183" s="22"/>
      <c r="H183" s="22">
        <f>73708+2</f>
        <v>73710</v>
      </c>
      <c r="I183" s="22"/>
      <c r="N183" s="22"/>
    </row>
    <row r="184" spans="1:14" ht="12.75">
      <c r="A184" s="106"/>
      <c r="B184" s="106" t="s">
        <v>87</v>
      </c>
      <c r="C184" s="25"/>
      <c r="D184" s="58">
        <f>SUM(D182:D183)</f>
        <v>355541.3016448332</v>
      </c>
      <c r="E184" s="289"/>
      <c r="F184" s="29">
        <f>SUM(F182:F183)</f>
        <v>359218</v>
      </c>
      <c r="G184" s="30"/>
      <c r="H184" s="29">
        <f>SUM(H182:H183)</f>
        <v>293238</v>
      </c>
      <c r="I184" s="16"/>
      <c r="N184" s="16"/>
    </row>
    <row r="185" spans="1:13" ht="12.75">
      <c r="A185" s="32"/>
      <c r="B185" s="32"/>
      <c r="C185" s="25"/>
      <c r="D185" s="30"/>
      <c r="E185" s="22"/>
      <c r="F185" s="30"/>
      <c r="G185" s="30"/>
      <c r="H185" s="30"/>
      <c r="I185" s="30"/>
      <c r="J185" s="30"/>
      <c r="K185" s="89"/>
      <c r="L185" s="30"/>
      <c r="M185" s="16"/>
    </row>
    <row r="186" spans="1:13" ht="12.75">
      <c r="A186" s="32" t="s">
        <v>254</v>
      </c>
      <c r="B186" s="32"/>
      <c r="C186" s="25"/>
      <c r="D186" s="30"/>
      <c r="E186" s="22"/>
      <c r="F186" s="30"/>
      <c r="G186" s="30"/>
      <c r="H186" s="30"/>
      <c r="I186" s="30"/>
      <c r="J186" s="30"/>
      <c r="K186" s="89"/>
      <c r="L186" s="30"/>
      <c r="M186" s="16"/>
    </row>
    <row r="187" spans="1:13" ht="12.75">
      <c r="A187" s="32" t="s">
        <v>220</v>
      </c>
      <c r="B187" s="32"/>
      <c r="C187" s="25"/>
      <c r="D187" s="30"/>
      <c r="E187" s="22"/>
      <c r="F187" s="30"/>
      <c r="G187" s="30"/>
      <c r="H187" s="30"/>
      <c r="I187" s="30"/>
      <c r="J187" s="30"/>
      <c r="K187" s="89"/>
      <c r="L187" s="30"/>
      <c r="M187" s="16"/>
    </row>
    <row r="188" spans="2:14" ht="12.75">
      <c r="B188" s="252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1:14" ht="13.5" thickBot="1">
      <c r="A189" s="41" t="s">
        <v>263</v>
      </c>
      <c r="B189" s="37"/>
      <c r="C189" s="37"/>
      <c r="D189" s="20"/>
      <c r="E189" s="20"/>
      <c r="F189" s="49"/>
      <c r="G189" s="49"/>
      <c r="H189" s="49"/>
      <c r="I189" s="49"/>
      <c r="J189" s="49"/>
      <c r="K189" s="49"/>
      <c r="L189" s="49"/>
      <c r="M189" s="28"/>
      <c r="N189" s="28"/>
    </row>
    <row r="190" spans="1:14" ht="12.75">
      <c r="A190" s="5"/>
      <c r="B190" s="5"/>
      <c r="C190" s="5"/>
      <c r="D190" s="309" t="s">
        <v>8</v>
      </c>
      <c r="E190" s="309"/>
      <c r="F190" s="309"/>
      <c r="G190" s="294"/>
      <c r="H190" s="306" t="s">
        <v>249</v>
      </c>
      <c r="I190" s="306"/>
      <c r="J190" s="306"/>
      <c r="K190" s="117"/>
      <c r="L190" s="266" t="s">
        <v>36</v>
      </c>
      <c r="M190" s="267"/>
      <c r="N190" s="267"/>
    </row>
    <row r="191" spans="4:14" ht="12.75">
      <c r="D191" s="305" t="s">
        <v>248</v>
      </c>
      <c r="E191" s="305"/>
      <c r="F191" s="305"/>
      <c r="G191" s="1"/>
      <c r="H191" s="305" t="s">
        <v>248</v>
      </c>
      <c r="I191" s="305"/>
      <c r="J191" s="305"/>
      <c r="K191" s="64"/>
      <c r="L191" s="264" t="s">
        <v>6</v>
      </c>
      <c r="M191" s="265"/>
      <c r="N191" s="265"/>
    </row>
    <row r="192" spans="1:14" ht="12.75">
      <c r="A192" s="13" t="s">
        <v>7</v>
      </c>
      <c r="B192" s="12"/>
      <c r="D192" s="54">
        <v>2010</v>
      </c>
      <c r="E192" s="121"/>
      <c r="F192" s="26">
        <v>2009</v>
      </c>
      <c r="G192" s="65"/>
      <c r="H192" s="276">
        <v>2010</v>
      </c>
      <c r="I192" s="121"/>
      <c r="J192" s="285">
        <v>2009</v>
      </c>
      <c r="K192" s="65"/>
      <c r="L192" s="260">
        <v>2009</v>
      </c>
      <c r="M192" s="107"/>
      <c r="N192" s="65"/>
    </row>
    <row r="193" spans="1:14" ht="12.75">
      <c r="A193" s="182" t="s">
        <v>158</v>
      </c>
      <c r="B193" s="5"/>
      <c r="D193" s="304" t="s">
        <v>5</v>
      </c>
      <c r="E193" s="304"/>
      <c r="F193" s="304"/>
      <c r="G193" s="304"/>
      <c r="H193" s="304"/>
      <c r="I193" s="304"/>
      <c r="J193" s="304"/>
      <c r="K193" s="304"/>
      <c r="L193" s="304"/>
      <c r="M193" s="208"/>
      <c r="N193" s="208"/>
    </row>
    <row r="194" spans="1:19" ht="12.75">
      <c r="A194" s="2"/>
      <c r="B194" s="2" t="s">
        <v>257</v>
      </c>
      <c r="C194" s="2"/>
      <c r="D194" s="55">
        <f>+H194-68332</f>
        <v>53546</v>
      </c>
      <c r="E194" s="24"/>
      <c r="F194" s="24">
        <f>+J194-106099</f>
        <v>31465</v>
      </c>
      <c r="G194" s="24"/>
      <c r="H194" s="218">
        <f>H47</f>
        <v>121878</v>
      </c>
      <c r="I194" s="24">
        <f>I47</f>
        <v>0</v>
      </c>
      <c r="J194" s="24">
        <f>J47</f>
        <v>137564</v>
      </c>
      <c r="K194" s="24"/>
      <c r="L194" s="24">
        <f>L47</f>
        <v>169043</v>
      </c>
      <c r="M194" s="23"/>
      <c r="N194" s="23"/>
      <c r="O194" s="73"/>
      <c r="P194" s="23"/>
      <c r="S194" s="72"/>
    </row>
    <row r="195" spans="1:19" ht="12.75">
      <c r="A195" s="2"/>
      <c r="B195" s="2" t="s">
        <v>258</v>
      </c>
      <c r="C195" s="2"/>
      <c r="D195" s="59">
        <f>+H195-67957</f>
        <v>50648</v>
      </c>
      <c r="E195" s="22"/>
      <c r="F195" s="43">
        <f>+J195-51801</f>
        <v>42651</v>
      </c>
      <c r="G195" s="43"/>
      <c r="H195" s="59">
        <f>H48</f>
        <v>118605</v>
      </c>
      <c r="I195" s="24">
        <f>I48</f>
        <v>0</v>
      </c>
      <c r="J195" s="22">
        <f>J48</f>
        <v>94452</v>
      </c>
      <c r="K195" s="22"/>
      <c r="L195" s="22">
        <f>L48</f>
        <v>182135</v>
      </c>
      <c r="M195" s="28"/>
      <c r="N195" s="28"/>
      <c r="O195" s="73"/>
      <c r="P195" s="28"/>
      <c r="S195" s="72"/>
    </row>
    <row r="196" spans="1:19" ht="12.75">
      <c r="A196" s="2"/>
      <c r="B196" s="2" t="s">
        <v>259</v>
      </c>
      <c r="C196" s="2"/>
      <c r="D196" s="56">
        <f>+H196-103781</f>
        <v>38595</v>
      </c>
      <c r="E196" s="22"/>
      <c r="F196" s="43">
        <v>34423</v>
      </c>
      <c r="G196" s="22"/>
      <c r="H196" s="59">
        <f>173105-30729</f>
        <v>142376</v>
      </c>
      <c r="I196" s="22"/>
      <c r="J196" s="22">
        <v>136006</v>
      </c>
      <c r="K196" s="22"/>
      <c r="L196" s="22">
        <v>183083</v>
      </c>
      <c r="M196" s="28"/>
      <c r="N196" s="28"/>
      <c r="O196" s="73"/>
      <c r="P196" s="28"/>
      <c r="S196" s="72"/>
    </row>
    <row r="197" spans="1:20" ht="12.75">
      <c r="A197" s="2"/>
      <c r="B197" s="2" t="s">
        <v>260</v>
      </c>
      <c r="C197" s="2"/>
      <c r="D197" s="56">
        <f>+H197-2168</f>
        <v>2113</v>
      </c>
      <c r="E197" s="22"/>
      <c r="F197" s="22">
        <f>+J197-3389</f>
        <v>2282</v>
      </c>
      <c r="G197" s="22"/>
      <c r="H197" s="56">
        <f>H137</f>
        <v>4281</v>
      </c>
      <c r="I197" s="22">
        <f>I137</f>
        <v>0</v>
      </c>
      <c r="J197" s="22">
        <f>J137</f>
        <v>5671</v>
      </c>
      <c r="K197" s="22"/>
      <c r="L197" s="22">
        <f>L137</f>
        <v>6000</v>
      </c>
      <c r="M197" s="28"/>
      <c r="N197" s="28"/>
      <c r="O197" s="73"/>
      <c r="P197" s="28"/>
      <c r="S197" s="72"/>
      <c r="T197" s="16"/>
    </row>
    <row r="198" spans="1:19" ht="12.75">
      <c r="A198" s="2"/>
      <c r="B198" s="2" t="s">
        <v>262</v>
      </c>
      <c r="C198" s="2"/>
      <c r="D198" s="56">
        <f>+H198-18459</f>
        <v>12270</v>
      </c>
      <c r="E198" s="22"/>
      <c r="F198" s="22">
        <f>+J198-11400</f>
        <v>4284</v>
      </c>
      <c r="G198" s="22"/>
      <c r="H198" s="56">
        <f>-H105</f>
        <v>30729</v>
      </c>
      <c r="I198" s="22"/>
      <c r="J198" s="22">
        <f>-J105</f>
        <v>15684</v>
      </c>
      <c r="K198" s="22"/>
      <c r="L198" s="22">
        <f>-L105</f>
        <v>24781</v>
      </c>
      <c r="M198" s="28"/>
      <c r="N198" s="28"/>
      <c r="O198" s="73"/>
      <c r="P198" s="28"/>
      <c r="S198" s="72"/>
    </row>
    <row r="199" spans="1:19" ht="12.75">
      <c r="A199" s="12"/>
      <c r="B199" s="12" t="s">
        <v>261</v>
      </c>
      <c r="C199" s="2"/>
      <c r="D199" s="295">
        <f>+H199-(67255)</f>
        <v>47781</v>
      </c>
      <c r="E199" s="22"/>
      <c r="F199" s="27">
        <f>+J199-62177</f>
        <v>28776</v>
      </c>
      <c r="G199" s="22"/>
      <c r="H199" s="295">
        <f>-H82</f>
        <v>115036</v>
      </c>
      <c r="I199" s="22"/>
      <c r="J199" s="27">
        <f>-J82</f>
        <v>90953</v>
      </c>
      <c r="K199" s="22"/>
      <c r="L199" s="27">
        <f>-L82</f>
        <v>153411</v>
      </c>
      <c r="M199" s="28"/>
      <c r="N199" s="28"/>
      <c r="O199" s="73"/>
      <c r="P199" s="28"/>
      <c r="S199" s="72"/>
    </row>
    <row r="200" spans="1:19" ht="4.5" customHeight="1">
      <c r="A200" s="5"/>
      <c r="B200" s="32"/>
      <c r="C200" s="32"/>
      <c r="D200" s="100"/>
      <c r="E200" s="100"/>
      <c r="F200" s="100"/>
      <c r="G200" s="100"/>
      <c r="H200" s="100"/>
      <c r="I200" s="100"/>
      <c r="J200" s="100"/>
      <c r="K200" s="100"/>
      <c r="L200" s="211"/>
      <c r="M200" s="100"/>
      <c r="N200" s="100"/>
      <c r="O200" s="132"/>
      <c r="P200" s="100"/>
      <c r="S200" s="72"/>
    </row>
    <row r="201" spans="1:24" ht="12.75">
      <c r="A201" s="40" t="s">
        <v>4</v>
      </c>
      <c r="B201" s="35" t="s">
        <v>89</v>
      </c>
      <c r="C201" s="35"/>
      <c r="D201" s="28"/>
      <c r="E201" s="28"/>
      <c r="F201" s="101" t="s">
        <v>7</v>
      </c>
      <c r="G201" s="101"/>
      <c r="H201" s="101"/>
      <c r="I201" s="101"/>
      <c r="J201" s="101"/>
      <c r="K201" s="28"/>
      <c r="L201" s="28"/>
      <c r="M201" s="28"/>
      <c r="N201" s="28"/>
      <c r="R201" s="28"/>
      <c r="S201" s="28"/>
      <c r="T201" s="32"/>
      <c r="X201" s="16"/>
    </row>
    <row r="202" spans="1:24" ht="12.75">
      <c r="A202" s="40" t="s">
        <v>3</v>
      </c>
      <c r="B202" s="35" t="s">
        <v>90</v>
      </c>
      <c r="C202" s="35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32"/>
      <c r="X202" s="16"/>
    </row>
    <row r="203" spans="1:26" ht="12.75">
      <c r="A203" s="40" t="s">
        <v>14</v>
      </c>
      <c r="B203" s="35" t="s">
        <v>48</v>
      </c>
      <c r="C203" s="35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32"/>
      <c r="Z203" s="16"/>
    </row>
    <row r="204" spans="1:21" ht="12.75">
      <c r="A204" s="40"/>
      <c r="B204" s="35"/>
      <c r="C204" s="35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</row>
    <row r="205" spans="1:21" ht="12.75">
      <c r="A205" s="157" t="s">
        <v>7</v>
      </c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</row>
    <row r="206" spans="1:21" ht="15">
      <c r="A206" s="38" t="s">
        <v>128</v>
      </c>
      <c r="B206" s="25"/>
      <c r="D206" s="279"/>
      <c r="L206" s="89" t="s">
        <v>7</v>
      </c>
      <c r="P206" s="22"/>
      <c r="Q206" s="22"/>
      <c r="R206" s="22"/>
      <c r="S206" s="22"/>
      <c r="T206" s="22"/>
      <c r="U206" s="22"/>
    </row>
    <row r="207" spans="1:21" ht="13.5" thickBot="1">
      <c r="A207" s="6" t="s">
        <v>49</v>
      </c>
      <c r="B207" s="6"/>
      <c r="C207" s="6"/>
      <c r="D207" s="76"/>
      <c r="E207" s="49"/>
      <c r="F207" s="49"/>
      <c r="G207" s="49"/>
      <c r="H207" s="49"/>
      <c r="I207" s="49"/>
      <c r="J207" s="49"/>
      <c r="K207" s="49"/>
      <c r="L207" s="49"/>
      <c r="M207" s="28"/>
      <c r="N207" s="28"/>
      <c r="O207" s="28"/>
      <c r="P207" s="28"/>
      <c r="Q207" s="82"/>
      <c r="R207" s="82"/>
      <c r="U207" s="32"/>
    </row>
    <row r="208" spans="1:21" ht="12.75">
      <c r="A208" s="5"/>
      <c r="B208" s="5"/>
      <c r="C208" s="5"/>
      <c r="D208" s="309" t="s">
        <v>8</v>
      </c>
      <c r="E208" s="309"/>
      <c r="F208" s="309"/>
      <c r="G208" s="294"/>
      <c r="H208" s="306" t="s">
        <v>249</v>
      </c>
      <c r="I208" s="306"/>
      <c r="J208" s="306"/>
      <c r="K208" s="117"/>
      <c r="L208" s="266" t="s">
        <v>36</v>
      </c>
      <c r="M208" s="267"/>
      <c r="N208" s="267"/>
      <c r="O208" s="63"/>
      <c r="P208" s="1"/>
      <c r="Q208" s="314"/>
      <c r="R208" s="314"/>
      <c r="U208" s="63"/>
    </row>
    <row r="209" spans="4:21" ht="12.75">
      <c r="D209" s="305" t="s">
        <v>248</v>
      </c>
      <c r="E209" s="305"/>
      <c r="F209" s="305"/>
      <c r="G209" s="1"/>
      <c r="H209" s="305" t="s">
        <v>248</v>
      </c>
      <c r="I209" s="305"/>
      <c r="J209" s="305"/>
      <c r="K209" s="64"/>
      <c r="L209" s="264" t="s">
        <v>6</v>
      </c>
      <c r="M209" s="265"/>
      <c r="N209" s="265"/>
      <c r="O209" s="1"/>
      <c r="P209" s="1"/>
      <c r="Q209" s="313"/>
      <c r="R209" s="313"/>
      <c r="U209" s="1"/>
    </row>
    <row r="210" spans="1:18" ht="12.75">
      <c r="A210" s="13" t="s">
        <v>7</v>
      </c>
      <c r="B210" s="13"/>
      <c r="D210" s="54">
        <v>2010</v>
      </c>
      <c r="E210" s="121"/>
      <c r="F210" s="26">
        <v>2009</v>
      </c>
      <c r="G210" s="65"/>
      <c r="H210" s="276">
        <v>2010</v>
      </c>
      <c r="I210" s="121"/>
      <c r="J210" s="285">
        <v>2009</v>
      </c>
      <c r="K210" s="65"/>
      <c r="L210" s="260">
        <v>2009</v>
      </c>
      <c r="M210" s="107"/>
      <c r="N210" s="65"/>
      <c r="O210" s="65"/>
      <c r="P210" s="78"/>
      <c r="Q210" s="78"/>
      <c r="R210" s="65"/>
    </row>
    <row r="211" spans="1:18" ht="12.75">
      <c r="A211" s="62"/>
      <c r="B211" s="62"/>
      <c r="D211" s="308" t="s">
        <v>5</v>
      </c>
      <c r="E211" s="308"/>
      <c r="F211" s="308"/>
      <c r="G211" s="308"/>
      <c r="H211" s="308"/>
      <c r="I211" s="308"/>
      <c r="J211" s="308"/>
      <c r="K211" s="308"/>
      <c r="L211" s="308"/>
      <c r="M211" s="208"/>
      <c r="N211" s="208"/>
      <c r="O211" s="200"/>
      <c r="P211" s="200"/>
      <c r="Q211" s="308"/>
      <c r="R211" s="308"/>
    </row>
    <row r="212" spans="1:21" ht="12.75">
      <c r="A212" s="2"/>
      <c r="B212" s="2" t="s">
        <v>33</v>
      </c>
      <c r="C212" s="2"/>
      <c r="D212" s="55">
        <f>+H212-99201</f>
        <v>51018</v>
      </c>
      <c r="E212" s="14"/>
      <c r="F212" s="24">
        <f>+J212-147781</f>
        <v>39063</v>
      </c>
      <c r="G212" s="24"/>
      <c r="H212" s="218">
        <v>150219</v>
      </c>
      <c r="I212" s="256"/>
      <c r="J212" s="24">
        <v>186844</v>
      </c>
      <c r="K212" s="24"/>
      <c r="L212" s="24">
        <v>227840</v>
      </c>
      <c r="M212" s="17"/>
      <c r="N212" s="23"/>
      <c r="O212" s="23"/>
      <c r="P212" s="23"/>
      <c r="U212" s="74"/>
    </row>
    <row r="213" spans="1:21" ht="12.75">
      <c r="A213" s="2"/>
      <c r="B213" s="25" t="s">
        <v>58</v>
      </c>
      <c r="C213" s="2"/>
      <c r="D213" s="56">
        <f>+H213-1398</f>
        <v>567</v>
      </c>
      <c r="E213" s="16"/>
      <c r="F213" s="22">
        <f>+J213-2697</f>
        <v>346</v>
      </c>
      <c r="G213" s="22"/>
      <c r="H213" s="56">
        <v>1965</v>
      </c>
      <c r="I213" s="278"/>
      <c r="J213" s="22">
        <v>3043</v>
      </c>
      <c r="K213" s="28"/>
      <c r="L213" s="22">
        <f>150+3150+87</f>
        <v>3387</v>
      </c>
      <c r="M213" s="18"/>
      <c r="N213" s="28"/>
      <c r="O213" s="28"/>
      <c r="P213" s="28"/>
      <c r="U213" s="74"/>
    </row>
    <row r="214" spans="1:16" ht="12.75">
      <c r="A214" s="4"/>
      <c r="B214" s="4" t="s">
        <v>181</v>
      </c>
      <c r="C214" s="2"/>
      <c r="D214" s="58">
        <f>SUM(D211:D213)</f>
        <v>51585</v>
      </c>
      <c r="E214" s="16"/>
      <c r="F214" s="29">
        <f>SUM(F212:F213)</f>
        <v>39409</v>
      </c>
      <c r="G214" s="30"/>
      <c r="H214" s="58">
        <f>SUM(H211:H213)</f>
        <v>152184</v>
      </c>
      <c r="I214" s="16"/>
      <c r="J214" s="29">
        <f>SUM(J212:J213)</f>
        <v>189887</v>
      </c>
      <c r="K214" s="30"/>
      <c r="L214" s="29">
        <f>SUM(L212:L213)</f>
        <v>231227</v>
      </c>
      <c r="M214" s="18"/>
      <c r="N214" s="30"/>
      <c r="O214" s="30"/>
      <c r="P214" s="30"/>
    </row>
    <row r="215" spans="1:21" ht="12.75">
      <c r="A215" s="83"/>
      <c r="C215" s="79"/>
      <c r="D215" s="88"/>
      <c r="E215" s="88"/>
      <c r="F215" s="92"/>
      <c r="G215" s="92"/>
      <c r="H215" s="88"/>
      <c r="I215" s="92"/>
      <c r="J215" s="92"/>
      <c r="K215" s="156"/>
      <c r="L215" s="88"/>
      <c r="M215" s="156"/>
      <c r="N215" s="156"/>
      <c r="O215" s="156"/>
      <c r="P215" s="156"/>
      <c r="U215" s="28"/>
    </row>
    <row r="216" spans="1:20" ht="12.75">
      <c r="A216" s="157" t="s">
        <v>7</v>
      </c>
      <c r="C216" s="5"/>
      <c r="D216" s="48"/>
      <c r="E216" s="50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</row>
    <row r="217" spans="1:20" ht="15">
      <c r="A217" s="38" t="s">
        <v>113</v>
      </c>
      <c r="C217" s="79"/>
      <c r="D217" s="88"/>
      <c r="E217" s="88"/>
      <c r="F217" s="88"/>
      <c r="G217" s="88"/>
      <c r="H217" s="88"/>
      <c r="I217" s="88"/>
      <c r="J217" s="88"/>
      <c r="K217" s="156"/>
      <c r="L217" s="88"/>
      <c r="M217" s="88"/>
      <c r="N217" s="88"/>
      <c r="O217" s="48"/>
      <c r="P217" s="48"/>
      <c r="Q217" s="48"/>
      <c r="R217" s="48"/>
      <c r="S217" s="48"/>
      <c r="T217" s="48"/>
    </row>
    <row r="218" spans="1:20" ht="13.5" thickBot="1">
      <c r="A218" s="37" t="s">
        <v>107</v>
      </c>
      <c r="B218" s="37"/>
      <c r="C218" s="37"/>
      <c r="D218" s="76"/>
      <c r="E218" s="49"/>
      <c r="F218" s="49"/>
      <c r="G218" s="49"/>
      <c r="H218" s="49"/>
      <c r="I218" s="49"/>
      <c r="J218" s="49"/>
      <c r="K218" s="49"/>
      <c r="L218" s="49"/>
      <c r="M218" s="28"/>
      <c r="N218" s="156"/>
      <c r="O218" s="50"/>
      <c r="P218" s="50"/>
      <c r="Q218" s="50"/>
      <c r="R218" s="48"/>
      <c r="S218" s="48"/>
      <c r="T218" s="48"/>
    </row>
    <row r="219" spans="1:20" ht="12.75">
      <c r="A219" s="32"/>
      <c r="B219" s="32"/>
      <c r="C219" s="32"/>
      <c r="D219" s="309" t="s">
        <v>8</v>
      </c>
      <c r="E219" s="309"/>
      <c r="F219" s="309"/>
      <c r="G219" s="294"/>
      <c r="H219" s="306" t="s">
        <v>249</v>
      </c>
      <c r="I219" s="306"/>
      <c r="J219" s="306"/>
      <c r="K219" s="117"/>
      <c r="L219" s="266" t="s">
        <v>36</v>
      </c>
      <c r="M219" s="267"/>
      <c r="N219" s="267"/>
      <c r="O219" s="50"/>
      <c r="P219" s="254"/>
      <c r="Q219" s="50"/>
      <c r="R219" s="48"/>
      <c r="S219" s="48"/>
      <c r="T219" s="48"/>
    </row>
    <row r="220" spans="1:20" ht="12.75">
      <c r="A220" s="25"/>
      <c r="B220" s="25"/>
      <c r="C220" s="25"/>
      <c r="D220" s="305" t="s">
        <v>248</v>
      </c>
      <c r="E220" s="305"/>
      <c r="F220" s="305"/>
      <c r="G220" s="1"/>
      <c r="H220" s="305" t="s">
        <v>248</v>
      </c>
      <c r="I220" s="305"/>
      <c r="J220" s="305"/>
      <c r="K220" s="64"/>
      <c r="L220" s="264" t="s">
        <v>6</v>
      </c>
      <c r="M220" s="265"/>
      <c r="N220" s="265"/>
      <c r="O220" s="50"/>
      <c r="P220" s="254"/>
      <c r="Q220" s="50"/>
      <c r="R220" s="48"/>
      <c r="S220" s="48"/>
      <c r="T220" s="48"/>
    </row>
    <row r="221" spans="1:20" ht="12.75">
      <c r="A221" s="45" t="s">
        <v>7</v>
      </c>
      <c r="B221" s="45"/>
      <c r="C221" s="25"/>
      <c r="D221" s="54">
        <v>2010</v>
      </c>
      <c r="E221" s="121"/>
      <c r="F221" s="26">
        <v>2009</v>
      </c>
      <c r="G221" s="65"/>
      <c r="H221" s="276">
        <v>2010</v>
      </c>
      <c r="I221" s="121"/>
      <c r="J221" s="285">
        <v>2009</v>
      </c>
      <c r="K221" s="65"/>
      <c r="L221" s="260">
        <v>2009</v>
      </c>
      <c r="M221" s="107"/>
      <c r="N221" s="65"/>
      <c r="O221" s="50"/>
      <c r="P221" s="78"/>
      <c r="Q221" s="50"/>
      <c r="R221" s="48"/>
      <c r="S221" s="48"/>
      <c r="T221" s="48"/>
    </row>
    <row r="222" spans="1:20" ht="12.75">
      <c r="A222" s="61"/>
      <c r="B222" s="61"/>
      <c r="C222" s="25"/>
      <c r="D222" s="307" t="s">
        <v>5</v>
      </c>
      <c r="E222" s="307"/>
      <c r="F222" s="307"/>
      <c r="G222" s="307"/>
      <c r="H222" s="307"/>
      <c r="I222" s="307"/>
      <c r="J222" s="307"/>
      <c r="K222" s="307"/>
      <c r="L222" s="307"/>
      <c r="M222" s="204"/>
      <c r="N222" s="204"/>
      <c r="O222" s="255"/>
      <c r="P222" s="255"/>
      <c r="Q222" s="48"/>
      <c r="R222" s="48"/>
      <c r="S222" s="48"/>
      <c r="T222" s="48"/>
    </row>
    <row r="223" spans="1:20" ht="12.75">
      <c r="A223" s="25" t="s">
        <v>108</v>
      </c>
      <c r="C223" s="25"/>
      <c r="D223" s="279"/>
      <c r="M223" s="73"/>
      <c r="N223" s="156"/>
      <c r="O223" s="50"/>
      <c r="P223" s="50"/>
      <c r="Q223" s="48"/>
      <c r="R223" s="48"/>
      <c r="S223" s="48"/>
      <c r="T223" s="48"/>
    </row>
    <row r="224" spans="1:21" s="114" customFormat="1" ht="12.75">
      <c r="A224" s="25"/>
      <c r="B224" s="25" t="s">
        <v>109</v>
      </c>
      <c r="C224" s="25"/>
      <c r="D224" s="55">
        <f>+H224--11471</f>
        <v>-4345</v>
      </c>
      <c r="E224" s="24"/>
      <c r="F224" s="24">
        <f>+J224-3713</f>
        <v>-8181</v>
      </c>
      <c r="G224" s="24"/>
      <c r="H224" s="218">
        <v>-15816</v>
      </c>
      <c r="I224" s="288"/>
      <c r="J224" s="24">
        <v>-4468</v>
      </c>
      <c r="K224" s="24"/>
      <c r="L224" s="24">
        <f>3713-4666-3515+2706</f>
        <v>-1762</v>
      </c>
      <c r="M224" s="23"/>
      <c r="N224" s="23"/>
      <c r="O224" s="268"/>
      <c r="P224" s="23"/>
      <c r="Q224" s="109"/>
      <c r="R224" s="109"/>
      <c r="S224" s="109"/>
      <c r="T224" s="109"/>
      <c r="U224" s="25"/>
    </row>
    <row r="225" spans="1:21" s="114" customFormat="1" ht="25.5">
      <c r="A225" s="25"/>
      <c r="B225" s="135" t="s">
        <v>230</v>
      </c>
      <c r="C225" s="25"/>
      <c r="D225" s="56">
        <f>+H225-9838</f>
        <v>4430</v>
      </c>
      <c r="E225" s="22"/>
      <c r="F225" s="22">
        <f>+J225-7690</f>
        <v>4666</v>
      </c>
      <c r="G225" s="22"/>
      <c r="H225" s="56">
        <v>14268</v>
      </c>
      <c r="I225" s="289"/>
      <c r="J225" s="22">
        <v>12356</v>
      </c>
      <c r="K225" s="28"/>
      <c r="L225" s="22">
        <f>7690+4666+4988</f>
        <v>17344</v>
      </c>
      <c r="M225" s="28"/>
      <c r="N225" s="28"/>
      <c r="O225" s="268"/>
      <c r="P225" s="28"/>
      <c r="Q225" s="109"/>
      <c r="R225" s="109"/>
      <c r="S225" s="109"/>
      <c r="T225" s="109"/>
      <c r="U225" s="25"/>
    </row>
    <row r="226" spans="1:20" ht="12.75">
      <c r="A226" s="106"/>
      <c r="B226" s="106" t="s">
        <v>110</v>
      </c>
      <c r="C226" s="25"/>
      <c r="D226" s="58">
        <f>SUM(D224:D225)</f>
        <v>85</v>
      </c>
      <c r="E226" s="33"/>
      <c r="F226" s="29">
        <f>SUM(F224:F225)</f>
        <v>-3515</v>
      </c>
      <c r="G226" s="30"/>
      <c r="H226" s="58">
        <f>SUM(H224:H225)</f>
        <v>-1548</v>
      </c>
      <c r="I226" s="33"/>
      <c r="J226" s="29">
        <f>SUM(J224:J225)</f>
        <v>7888</v>
      </c>
      <c r="K226" s="33"/>
      <c r="L226" s="29">
        <f>SUM(L224:L225)</f>
        <v>15582</v>
      </c>
      <c r="M226" s="23"/>
      <c r="N226" s="30"/>
      <c r="O226" s="50"/>
      <c r="P226" s="30"/>
      <c r="Q226" s="48"/>
      <c r="R226" s="48"/>
      <c r="S226" s="48"/>
      <c r="T226" s="48"/>
    </row>
    <row r="227" spans="1:20" ht="12.75">
      <c r="A227" s="19"/>
      <c r="C227" s="5"/>
      <c r="D227" s="48"/>
      <c r="E227" s="50"/>
      <c r="F227" s="270"/>
      <c r="G227" s="270"/>
      <c r="H227" s="48"/>
      <c r="I227" s="50"/>
      <c r="J227" s="270"/>
      <c r="K227" s="48"/>
      <c r="L227" s="273"/>
      <c r="M227" s="50"/>
      <c r="N227" s="269"/>
      <c r="O227" s="50"/>
      <c r="P227" s="50"/>
      <c r="Q227" s="48"/>
      <c r="R227" s="48"/>
      <c r="S227" s="48"/>
      <c r="T227" s="48"/>
    </row>
    <row r="228" spans="1:20" ht="12.75">
      <c r="A228" s="25" t="s">
        <v>125</v>
      </c>
      <c r="C228" s="25"/>
      <c r="F228" s="271"/>
      <c r="G228" s="271"/>
      <c r="J228" s="282"/>
      <c r="L228" s="207"/>
      <c r="M228" s="73"/>
      <c r="N228" s="156"/>
      <c r="O228" s="50"/>
      <c r="P228" s="50"/>
      <c r="Q228" s="48"/>
      <c r="R228" s="48"/>
      <c r="S228" s="48"/>
      <c r="T228" s="48"/>
    </row>
    <row r="229" spans="1:21" s="114" customFormat="1" ht="12.75">
      <c r="A229" s="25"/>
      <c r="B229" s="25" t="s">
        <v>109</v>
      </c>
      <c r="C229" s="25"/>
      <c r="D229" s="55">
        <f>+H229--811</f>
        <v>4485</v>
      </c>
      <c r="E229" s="24"/>
      <c r="F229" s="24">
        <f>+J229-7858</f>
        <v>-4864</v>
      </c>
      <c r="G229" s="24"/>
      <c r="H229" s="218">
        <f>-811+4478+7</f>
        <v>3674</v>
      </c>
      <c r="I229" s="288"/>
      <c r="J229" s="24">
        <v>2994</v>
      </c>
      <c r="K229" s="24"/>
      <c r="L229" s="24">
        <f>2994-1334-226</f>
        <v>1434</v>
      </c>
      <c r="M229" s="23"/>
      <c r="N229" s="23"/>
      <c r="O229" s="268"/>
      <c r="P229" s="23"/>
      <c r="Q229" s="109"/>
      <c r="R229" s="109"/>
      <c r="S229" s="109"/>
      <c r="T229" s="109"/>
      <c r="U229" s="25"/>
    </row>
    <row r="230" spans="1:21" s="114" customFormat="1" ht="27" customHeight="1">
      <c r="A230" s="25"/>
      <c r="B230" s="135" t="s">
        <v>231</v>
      </c>
      <c r="C230" s="25"/>
      <c r="D230" s="56">
        <f>+H230-(-1051)</f>
        <v>1742</v>
      </c>
      <c r="E230" s="22"/>
      <c r="F230" s="22">
        <f>+J230--44</f>
        <v>-1231</v>
      </c>
      <c r="G230" s="22"/>
      <c r="H230" s="56">
        <f>-1051+1742</f>
        <v>691</v>
      </c>
      <c r="I230" s="289"/>
      <c r="J230" s="22">
        <v>-1275</v>
      </c>
      <c r="K230" s="28"/>
      <c r="L230" s="22">
        <f>-1275-161</f>
        <v>-1436</v>
      </c>
      <c r="M230" s="28"/>
      <c r="N230" s="28"/>
      <c r="O230" s="268"/>
      <c r="P230" s="28"/>
      <c r="Q230" s="109"/>
      <c r="R230" s="109"/>
      <c r="S230" s="109"/>
      <c r="T230" s="109"/>
      <c r="U230" s="25"/>
    </row>
    <row r="231" spans="1:20" ht="12.75">
      <c r="A231" s="106"/>
      <c r="B231" s="106" t="s">
        <v>126</v>
      </c>
      <c r="C231" s="25"/>
      <c r="D231" s="58">
        <f>SUM(D229:D230)</f>
        <v>6227</v>
      </c>
      <c r="E231" s="33"/>
      <c r="F231" s="29">
        <f>SUM(F229:F230)</f>
        <v>-6095</v>
      </c>
      <c r="G231" s="30"/>
      <c r="H231" s="58">
        <f>SUM(H229:H230)</f>
        <v>4365</v>
      </c>
      <c r="I231" s="33"/>
      <c r="J231" s="29">
        <f>SUM(J229:J230)</f>
        <v>1719</v>
      </c>
      <c r="K231" s="33"/>
      <c r="L231" s="29">
        <f>SUM(L229:L230)</f>
        <v>-2</v>
      </c>
      <c r="M231" s="23"/>
      <c r="N231" s="30"/>
      <c r="O231" s="50"/>
      <c r="P231" s="30"/>
      <c r="Q231" s="48"/>
      <c r="R231" s="48"/>
      <c r="S231" s="48"/>
      <c r="T231" s="48"/>
    </row>
    <row r="232" spans="1:20" ht="12.75">
      <c r="A232" s="32"/>
      <c r="B232" s="32"/>
      <c r="C232" s="25"/>
      <c r="D232" s="187"/>
      <c r="E232" s="188"/>
      <c r="F232" s="187"/>
      <c r="G232" s="187"/>
      <c r="H232" s="187"/>
      <c r="I232" s="187"/>
      <c r="J232" s="187"/>
      <c r="K232" s="188"/>
      <c r="L232" s="187"/>
      <c r="M232" s="23"/>
      <c r="N232" s="30"/>
      <c r="O232" s="50"/>
      <c r="P232" s="30"/>
      <c r="Q232" s="48"/>
      <c r="R232" s="48"/>
      <c r="S232" s="48"/>
      <c r="T232" s="48"/>
    </row>
    <row r="233" spans="1:20" ht="12.75">
      <c r="A233" s="19"/>
      <c r="C233" s="5"/>
      <c r="D233" s="48"/>
      <c r="E233" s="50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</row>
    <row r="234" spans="1:27" ht="15.75" thickBot="1">
      <c r="A234" s="52" t="s">
        <v>114</v>
      </c>
      <c r="B234" s="37"/>
      <c r="C234" s="6"/>
      <c r="D234" s="190"/>
      <c r="E234" s="49" t="s">
        <v>7</v>
      </c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28"/>
      <c r="R234" s="28"/>
      <c r="S234" s="28"/>
      <c r="T234" s="28"/>
      <c r="U234" s="32"/>
      <c r="V234" s="32"/>
      <c r="W234" s="28"/>
      <c r="X234" s="28"/>
      <c r="AA234" s="5"/>
    </row>
    <row r="235" spans="1:23" ht="12.75" customHeight="1">
      <c r="A235" s="42"/>
      <c r="C235" s="5"/>
      <c r="D235" s="21"/>
      <c r="E235" s="21"/>
      <c r="F235" s="15"/>
      <c r="G235" s="15"/>
      <c r="H235" s="15"/>
      <c r="I235" s="15"/>
      <c r="J235" s="15"/>
      <c r="K235" s="15"/>
      <c r="L235" s="15" t="s">
        <v>39</v>
      </c>
      <c r="M235" s="15"/>
      <c r="N235" s="15"/>
      <c r="O235" s="15"/>
      <c r="P235" s="15"/>
      <c r="W235" s="2"/>
    </row>
    <row r="236" spans="3:23" ht="12.75" customHeight="1">
      <c r="C236" s="5"/>
      <c r="D236" s="15" t="s">
        <v>45</v>
      </c>
      <c r="E236" s="15"/>
      <c r="F236" s="21" t="s">
        <v>119</v>
      </c>
      <c r="G236" s="21"/>
      <c r="H236" s="15" t="s">
        <v>10</v>
      </c>
      <c r="I236" s="15"/>
      <c r="J236" s="15" t="s">
        <v>18</v>
      </c>
      <c r="K236" s="15" t="s">
        <v>7</v>
      </c>
      <c r="L236" s="21" t="s">
        <v>40</v>
      </c>
      <c r="M236" s="21"/>
      <c r="N236" s="21"/>
      <c r="O236" s="21"/>
      <c r="P236" s="15"/>
      <c r="W236" s="2"/>
    </row>
    <row r="237" spans="3:23" ht="12.75" customHeight="1">
      <c r="C237" s="5"/>
      <c r="D237" s="66" t="s">
        <v>46</v>
      </c>
      <c r="E237" s="66"/>
      <c r="F237" s="21" t="s">
        <v>38</v>
      </c>
      <c r="G237" s="21"/>
      <c r="H237" s="15" t="s">
        <v>20</v>
      </c>
      <c r="I237" s="15"/>
      <c r="J237" s="15" t="s">
        <v>34</v>
      </c>
      <c r="K237" s="15" t="s">
        <v>7</v>
      </c>
      <c r="L237" s="21" t="s">
        <v>42</v>
      </c>
      <c r="M237" s="21"/>
      <c r="N237" s="21" t="s">
        <v>43</v>
      </c>
      <c r="O237" s="21"/>
      <c r="P237" s="21" t="s">
        <v>11</v>
      </c>
      <c r="W237" s="2"/>
    </row>
    <row r="238" spans="1:16" ht="12.75" customHeight="1">
      <c r="A238" s="186"/>
      <c r="B238" s="98"/>
      <c r="D238" s="110" t="s">
        <v>47</v>
      </c>
      <c r="E238" s="111"/>
      <c r="F238" s="110" t="s">
        <v>47</v>
      </c>
      <c r="G238" s="112"/>
      <c r="H238" s="110" t="s">
        <v>12</v>
      </c>
      <c r="I238" s="111"/>
      <c r="J238" s="110" t="s">
        <v>19</v>
      </c>
      <c r="K238" s="111" t="s">
        <v>7</v>
      </c>
      <c r="L238" s="110" t="s">
        <v>41</v>
      </c>
      <c r="M238" s="111"/>
      <c r="N238" s="110" t="s">
        <v>60</v>
      </c>
      <c r="O238" s="111"/>
      <c r="P238" s="110" t="s">
        <v>13</v>
      </c>
    </row>
    <row r="239" spans="1:23" ht="12.75" customHeight="1">
      <c r="A239" s="133"/>
      <c r="B239" s="133"/>
      <c r="C239" s="5"/>
      <c r="D239" s="208" t="s">
        <v>5</v>
      </c>
      <c r="E239" s="208"/>
      <c r="F239" s="208"/>
      <c r="G239" s="208"/>
      <c r="H239" s="208"/>
      <c r="I239" s="208"/>
      <c r="J239" s="208"/>
      <c r="K239" s="208"/>
      <c r="L239" s="208"/>
      <c r="M239" s="208"/>
      <c r="N239" s="208"/>
      <c r="O239" s="208"/>
      <c r="P239" s="208"/>
      <c r="W239" s="134"/>
    </row>
    <row r="240" spans="1:23" s="114" customFormat="1" ht="12.75">
      <c r="A240" s="32" t="s">
        <v>94</v>
      </c>
      <c r="B240" s="25"/>
      <c r="C240" s="25"/>
      <c r="D240" s="131">
        <v>78208</v>
      </c>
      <c r="E240" s="131"/>
      <c r="F240" s="131">
        <v>-1868</v>
      </c>
      <c r="G240" s="131"/>
      <c r="H240" s="131">
        <v>134658</v>
      </c>
      <c r="I240" s="131"/>
      <c r="J240" s="131">
        <v>963334</v>
      </c>
      <c r="K240" s="131"/>
      <c r="L240" s="131">
        <v>-34662</v>
      </c>
      <c r="M240" s="131"/>
      <c r="N240" s="131">
        <v>10</v>
      </c>
      <c r="O240" s="131"/>
      <c r="P240" s="131">
        <v>1139680</v>
      </c>
      <c r="Q240" s="43"/>
      <c r="R240" s="25"/>
      <c r="S240" s="25"/>
      <c r="T240" s="25"/>
      <c r="U240" s="25"/>
      <c r="V240" s="25"/>
      <c r="W240" s="25"/>
    </row>
    <row r="241" spans="1:23" s="114" customFormat="1" ht="13.5">
      <c r="A241" s="77" t="s">
        <v>95</v>
      </c>
      <c r="B241" s="25"/>
      <c r="C241" s="25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25"/>
      <c r="S241" s="25"/>
      <c r="T241" s="25"/>
      <c r="U241" s="25"/>
      <c r="V241" s="25"/>
      <c r="W241" s="25"/>
    </row>
    <row r="242" spans="2:23" s="114" customFormat="1" ht="12.75">
      <c r="B242" s="25" t="s">
        <v>91</v>
      </c>
      <c r="C242" s="25"/>
      <c r="D242" s="43">
        <v>0</v>
      </c>
      <c r="E242" s="43"/>
      <c r="F242" s="43">
        <v>0</v>
      </c>
      <c r="G242" s="43"/>
      <c r="H242" s="43">
        <v>0</v>
      </c>
      <c r="I242" s="43"/>
      <c r="J242" s="43">
        <v>54164</v>
      </c>
      <c r="K242" s="43"/>
      <c r="L242" s="43">
        <v>5401</v>
      </c>
      <c r="M242" s="43"/>
      <c r="N242" s="43">
        <v>0</v>
      </c>
      <c r="O242" s="43"/>
      <c r="P242" s="43">
        <v>59565</v>
      </c>
      <c r="Q242" s="43"/>
      <c r="R242" s="25"/>
      <c r="S242" s="25"/>
      <c r="T242" s="25"/>
      <c r="U242" s="25"/>
      <c r="V242" s="25"/>
      <c r="W242" s="25"/>
    </row>
    <row r="243" spans="1:23" s="114" customFormat="1" ht="12.75">
      <c r="A243" s="136"/>
      <c r="B243" s="98" t="s">
        <v>44</v>
      </c>
      <c r="C243" s="98"/>
      <c r="D243" s="44">
        <v>0</v>
      </c>
      <c r="E243" s="43"/>
      <c r="F243" s="44">
        <v>0</v>
      </c>
      <c r="G243" s="51"/>
      <c r="H243" s="44">
        <v>3488</v>
      </c>
      <c r="I243" s="43"/>
      <c r="J243" s="44">
        <v>0</v>
      </c>
      <c r="K243" s="43"/>
      <c r="L243" s="44">
        <v>0</v>
      </c>
      <c r="M243" s="43"/>
      <c r="N243" s="44">
        <v>0</v>
      </c>
      <c r="O243" s="43"/>
      <c r="P243" s="44">
        <v>3488</v>
      </c>
      <c r="Q243" s="43"/>
      <c r="R243" s="25"/>
      <c r="S243" s="25"/>
      <c r="T243" s="25"/>
      <c r="U243" s="25"/>
      <c r="V243" s="25"/>
      <c r="W243" s="25"/>
    </row>
    <row r="244" spans="1:23" s="115" customFormat="1" ht="12.75">
      <c r="A244" s="32" t="s">
        <v>96</v>
      </c>
      <c r="B244" s="32"/>
      <c r="C244" s="32"/>
      <c r="D244" s="104">
        <v>78208</v>
      </c>
      <c r="E244" s="104"/>
      <c r="F244" s="104">
        <v>-1868</v>
      </c>
      <c r="G244" s="104"/>
      <c r="H244" s="104">
        <v>138146</v>
      </c>
      <c r="I244" s="104"/>
      <c r="J244" s="104">
        <v>1017498</v>
      </c>
      <c r="K244" s="104"/>
      <c r="L244" s="104">
        <v>-29261</v>
      </c>
      <c r="M244" s="104"/>
      <c r="N244" s="104">
        <v>10</v>
      </c>
      <c r="O244" s="104"/>
      <c r="P244" s="104">
        <v>1202733</v>
      </c>
      <c r="Q244" s="32"/>
      <c r="R244" s="32"/>
      <c r="S244" s="32"/>
      <c r="T244" s="32"/>
      <c r="U244" s="32"/>
      <c r="V244" s="32"/>
      <c r="W244" s="32"/>
    </row>
    <row r="245" spans="1:23" s="114" customFormat="1" ht="13.5">
      <c r="A245" s="77" t="s">
        <v>98</v>
      </c>
      <c r="B245" s="25"/>
      <c r="C245" s="25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25"/>
      <c r="S245" s="25"/>
      <c r="T245" s="25"/>
      <c r="U245" s="25"/>
      <c r="V245" s="25"/>
      <c r="W245" s="25"/>
    </row>
    <row r="246" spans="2:23" s="114" customFormat="1" ht="12.75">
      <c r="B246" s="25" t="s">
        <v>91</v>
      </c>
      <c r="C246" s="25"/>
      <c r="D246" s="43">
        <v>0</v>
      </c>
      <c r="E246" s="43"/>
      <c r="F246" s="43">
        <v>0</v>
      </c>
      <c r="G246" s="43"/>
      <c r="H246" s="43">
        <v>0</v>
      </c>
      <c r="I246" s="43"/>
      <c r="J246" s="43">
        <v>41042</v>
      </c>
      <c r="K246" s="43"/>
      <c r="L246" s="43">
        <v>10617</v>
      </c>
      <c r="M246" s="43"/>
      <c r="N246" s="43">
        <v>-2</v>
      </c>
      <c r="O246" s="43"/>
      <c r="P246" s="43">
        <v>51657</v>
      </c>
      <c r="Q246" s="161"/>
      <c r="R246" s="25"/>
      <c r="S246" s="25"/>
      <c r="T246" s="25"/>
      <c r="U246" s="25"/>
      <c r="V246" s="25"/>
      <c r="W246" s="25"/>
    </row>
    <row r="247" spans="2:23" s="114" customFormat="1" ht="12.75">
      <c r="B247" s="25" t="s">
        <v>233</v>
      </c>
      <c r="C247" s="25"/>
      <c r="D247" s="43">
        <v>8375</v>
      </c>
      <c r="E247" s="43"/>
      <c r="F247" s="43">
        <v>0</v>
      </c>
      <c r="G247" s="43"/>
      <c r="H247" s="43">
        <v>91083</v>
      </c>
      <c r="I247" s="43"/>
      <c r="J247" s="43">
        <v>0</v>
      </c>
      <c r="K247" s="43"/>
      <c r="L247" s="43">
        <v>0</v>
      </c>
      <c r="M247" s="43"/>
      <c r="N247" s="43">
        <v>0</v>
      </c>
      <c r="O247" s="43"/>
      <c r="P247" s="43">
        <v>99458</v>
      </c>
      <c r="Q247" s="161"/>
      <c r="R247" s="25"/>
      <c r="S247" s="25"/>
      <c r="T247" s="25"/>
      <c r="U247" s="25"/>
      <c r="V247" s="25"/>
      <c r="W247" s="25"/>
    </row>
    <row r="248" spans="2:23" s="114" customFormat="1" ht="12.75">
      <c r="B248" s="25" t="s">
        <v>234</v>
      </c>
      <c r="C248" s="25"/>
      <c r="D248" s="43">
        <v>0</v>
      </c>
      <c r="E248" s="43"/>
      <c r="F248" s="43">
        <v>1779</v>
      </c>
      <c r="G248" s="43"/>
      <c r="H248" s="43">
        <v>0</v>
      </c>
      <c r="I248" s="43"/>
      <c r="J248" s="43">
        <v>18497</v>
      </c>
      <c r="K248" s="43"/>
      <c r="L248" s="43">
        <v>0</v>
      </c>
      <c r="M248" s="43"/>
      <c r="N248" s="43">
        <v>0</v>
      </c>
      <c r="O248" s="43"/>
      <c r="P248" s="43">
        <v>20276</v>
      </c>
      <c r="Q248" s="43"/>
      <c r="R248" s="25"/>
      <c r="S248" s="25"/>
      <c r="T248" s="25"/>
      <c r="U248" s="25"/>
      <c r="V248" s="25"/>
      <c r="W248" s="25"/>
    </row>
    <row r="249" spans="2:23" s="114" customFormat="1" ht="12.75">
      <c r="B249" s="25" t="s">
        <v>59</v>
      </c>
      <c r="C249" s="32"/>
      <c r="D249" s="43">
        <v>0</v>
      </c>
      <c r="E249" s="43"/>
      <c r="F249" s="43">
        <v>0</v>
      </c>
      <c r="G249" s="43"/>
      <c r="H249" s="43">
        <v>0</v>
      </c>
      <c r="I249" s="43"/>
      <c r="J249" s="43">
        <v>0</v>
      </c>
      <c r="K249" s="43"/>
      <c r="L249" s="43">
        <v>0</v>
      </c>
      <c r="M249" s="43"/>
      <c r="N249" s="43">
        <v>-5</v>
      </c>
      <c r="O249" s="43"/>
      <c r="P249" s="43">
        <v>-5</v>
      </c>
      <c r="Q249" s="43"/>
      <c r="R249" s="25"/>
      <c r="S249" s="25"/>
      <c r="T249" s="25"/>
      <c r="U249" s="25"/>
      <c r="V249" s="25"/>
      <c r="W249" s="25"/>
    </row>
    <row r="250" spans="1:23" s="114" customFormat="1" ht="12.75">
      <c r="A250" s="82"/>
      <c r="B250" s="32" t="s">
        <v>44</v>
      </c>
      <c r="C250" s="32"/>
      <c r="D250" s="51">
        <v>0</v>
      </c>
      <c r="E250" s="51"/>
      <c r="F250" s="51">
        <v>0</v>
      </c>
      <c r="G250" s="51"/>
      <c r="H250" s="51">
        <v>3599</v>
      </c>
      <c r="I250" s="51"/>
      <c r="J250" s="51">
        <v>0</v>
      </c>
      <c r="K250" s="51"/>
      <c r="L250" s="51">
        <v>0</v>
      </c>
      <c r="M250" s="51"/>
      <c r="N250" s="51">
        <v>0</v>
      </c>
      <c r="O250" s="51"/>
      <c r="P250" s="51">
        <v>3599</v>
      </c>
      <c r="Q250" s="51"/>
      <c r="R250" s="25"/>
      <c r="S250" s="25"/>
      <c r="T250" s="25"/>
      <c r="U250" s="25"/>
      <c r="V250" s="25"/>
      <c r="W250" s="25"/>
    </row>
    <row r="251" spans="1:23" s="114" customFormat="1" ht="12.75">
      <c r="A251" s="136"/>
      <c r="B251" s="98" t="s">
        <v>93</v>
      </c>
      <c r="C251" s="98"/>
      <c r="D251" s="44">
        <v>0</v>
      </c>
      <c r="E251" s="43"/>
      <c r="F251" s="44">
        <v>0</v>
      </c>
      <c r="G251" s="51"/>
      <c r="H251" s="44">
        <v>0</v>
      </c>
      <c r="I251" s="43"/>
      <c r="J251" s="44">
        <v>-16</v>
      </c>
      <c r="K251" s="43"/>
      <c r="L251" s="44">
        <v>0</v>
      </c>
      <c r="M251" s="43"/>
      <c r="N251" s="44">
        <v>0</v>
      </c>
      <c r="O251" s="43"/>
      <c r="P251" s="44">
        <v>-16</v>
      </c>
      <c r="Q251" s="43"/>
      <c r="R251" s="25"/>
      <c r="S251" s="25"/>
      <c r="T251" s="25"/>
      <c r="U251" s="25"/>
      <c r="V251" s="25"/>
      <c r="W251" s="25"/>
    </row>
    <row r="252" spans="1:23" s="115" customFormat="1" ht="12.75">
      <c r="A252" s="32" t="s">
        <v>97</v>
      </c>
      <c r="B252" s="32"/>
      <c r="C252" s="32"/>
      <c r="D252" s="104">
        <v>86583</v>
      </c>
      <c r="E252" s="104"/>
      <c r="F252" s="104">
        <v>-89</v>
      </c>
      <c r="G252" s="104"/>
      <c r="H252" s="104">
        <v>232828</v>
      </c>
      <c r="I252" s="104">
        <v>0</v>
      </c>
      <c r="J252" s="104">
        <v>1077021</v>
      </c>
      <c r="K252" s="104">
        <v>0</v>
      </c>
      <c r="L252" s="104">
        <v>-18644</v>
      </c>
      <c r="M252" s="104">
        <v>0</v>
      </c>
      <c r="N252" s="104">
        <v>3</v>
      </c>
      <c r="O252" s="104">
        <v>0</v>
      </c>
      <c r="P252" s="104">
        <v>1377702</v>
      </c>
      <c r="Q252" s="32"/>
      <c r="R252" s="32"/>
      <c r="S252" s="32"/>
      <c r="T252" s="32"/>
      <c r="U252" s="32"/>
      <c r="V252" s="32"/>
      <c r="W252" s="32"/>
    </row>
    <row r="253" spans="1:23" s="114" customFormat="1" ht="13.5">
      <c r="A253" s="77" t="s">
        <v>141</v>
      </c>
      <c r="B253" s="25"/>
      <c r="C253" s="25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25"/>
      <c r="S253" s="25"/>
      <c r="T253" s="25"/>
      <c r="U253" s="25"/>
      <c r="V253" s="25"/>
      <c r="W253" s="25"/>
    </row>
    <row r="254" spans="2:23" s="114" customFormat="1" ht="12.75">
      <c r="B254" s="25" t="s">
        <v>91</v>
      </c>
      <c r="C254" s="25"/>
      <c r="D254" s="198">
        <v>0</v>
      </c>
      <c r="E254" s="198"/>
      <c r="F254" s="198">
        <v>0</v>
      </c>
      <c r="G254" s="198"/>
      <c r="H254" s="198">
        <v>0</v>
      </c>
      <c r="I254" s="198"/>
      <c r="J254" s="198">
        <v>47748</v>
      </c>
      <c r="K254" s="198"/>
      <c r="L254" s="198">
        <v>-8525</v>
      </c>
      <c r="M254" s="198"/>
      <c r="N254" s="198">
        <v>-1</v>
      </c>
      <c r="O254" s="198"/>
      <c r="P254" s="198">
        <v>39222</v>
      </c>
      <c r="Q254" s="43"/>
      <c r="R254" s="25"/>
      <c r="S254" s="25"/>
      <c r="T254" s="25"/>
      <c r="U254" s="25"/>
      <c r="V254" s="25"/>
      <c r="W254" s="25"/>
    </row>
    <row r="255" spans="1:23" s="114" customFormat="1" ht="12.75">
      <c r="A255" s="136"/>
      <c r="B255" s="98" t="s">
        <v>44</v>
      </c>
      <c r="C255" s="98"/>
      <c r="D255" s="44">
        <v>0</v>
      </c>
      <c r="E255" s="43"/>
      <c r="F255" s="44">
        <v>0</v>
      </c>
      <c r="G255" s="51"/>
      <c r="H255" s="44">
        <v>2305</v>
      </c>
      <c r="I255" s="43"/>
      <c r="J255" s="44">
        <v>0</v>
      </c>
      <c r="K255" s="43"/>
      <c r="L255" s="44">
        <v>0</v>
      </c>
      <c r="M255" s="43"/>
      <c r="N255" s="44">
        <v>0</v>
      </c>
      <c r="O255" s="43"/>
      <c r="P255" s="44">
        <v>2305</v>
      </c>
      <c r="Q255" s="43"/>
      <c r="R255" s="25"/>
      <c r="S255" s="25"/>
      <c r="T255" s="25"/>
      <c r="U255" s="25"/>
      <c r="V255" s="25"/>
      <c r="W255" s="25"/>
    </row>
    <row r="256" spans="1:23" s="115" customFormat="1" ht="12.75">
      <c r="A256" s="32" t="s">
        <v>142</v>
      </c>
      <c r="B256" s="32"/>
      <c r="C256" s="32"/>
      <c r="D256" s="104">
        <v>86583</v>
      </c>
      <c r="E256" s="104"/>
      <c r="F256" s="104">
        <v>-89</v>
      </c>
      <c r="G256" s="104"/>
      <c r="H256" s="104">
        <v>235133</v>
      </c>
      <c r="I256" s="104"/>
      <c r="J256" s="104">
        <v>1124769</v>
      </c>
      <c r="K256" s="104"/>
      <c r="L256" s="104">
        <v>-27169</v>
      </c>
      <c r="M256" s="104"/>
      <c r="N256" s="104">
        <v>2</v>
      </c>
      <c r="O256" s="104"/>
      <c r="P256" s="104">
        <v>1419229</v>
      </c>
      <c r="Q256" s="32"/>
      <c r="R256" s="32"/>
      <c r="S256" s="32"/>
      <c r="T256" s="32"/>
      <c r="U256" s="32"/>
      <c r="V256" s="32"/>
      <c r="W256" s="32"/>
    </row>
    <row r="257" spans="1:23" s="115" customFormat="1" ht="13.5">
      <c r="A257" s="77" t="s">
        <v>147</v>
      </c>
      <c r="B257" s="32"/>
      <c r="C257" s="32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32"/>
      <c r="R257" s="32"/>
      <c r="S257" s="32"/>
      <c r="T257" s="32"/>
      <c r="U257" s="32"/>
      <c r="V257" s="32"/>
      <c r="W257" s="32"/>
    </row>
    <row r="258" spans="2:23" s="196" customFormat="1" ht="12.75">
      <c r="B258" s="25" t="s">
        <v>91</v>
      </c>
      <c r="C258" s="25"/>
      <c r="D258" s="43">
        <v>0</v>
      </c>
      <c r="E258" s="43"/>
      <c r="F258" s="43">
        <v>0</v>
      </c>
      <c r="G258" s="43"/>
      <c r="H258" s="43">
        <v>0</v>
      </c>
      <c r="I258" s="43"/>
      <c r="J258" s="43">
        <v>22871</v>
      </c>
      <c r="K258" s="43"/>
      <c r="L258" s="43">
        <v>3725</v>
      </c>
      <c r="M258" s="43"/>
      <c r="N258" s="43">
        <v>2097</v>
      </c>
      <c r="O258" s="43"/>
      <c r="P258" s="43">
        <v>28693</v>
      </c>
      <c r="Q258" s="199"/>
      <c r="R258" s="197"/>
      <c r="S258" s="197"/>
      <c r="T258" s="197"/>
      <c r="U258" s="197"/>
      <c r="V258" s="197"/>
      <c r="W258" s="197"/>
    </row>
    <row r="259" spans="2:23" s="196" customFormat="1" ht="12.75">
      <c r="B259" s="25" t="s">
        <v>59</v>
      </c>
      <c r="C259" s="25"/>
      <c r="D259" s="43">
        <v>0</v>
      </c>
      <c r="E259" s="43"/>
      <c r="F259" s="43">
        <v>0</v>
      </c>
      <c r="G259" s="43"/>
      <c r="H259" s="43">
        <v>0</v>
      </c>
      <c r="I259" s="43"/>
      <c r="J259" s="43">
        <v>0</v>
      </c>
      <c r="K259" s="43"/>
      <c r="L259" s="43">
        <v>0</v>
      </c>
      <c r="M259" s="43"/>
      <c r="N259" s="43">
        <v>-1294</v>
      </c>
      <c r="O259" s="43"/>
      <c r="P259" s="43">
        <v>-1294</v>
      </c>
      <c r="Q259" s="199"/>
      <c r="R259" s="197"/>
      <c r="S259" s="197"/>
      <c r="T259" s="197"/>
      <c r="U259" s="197"/>
      <c r="V259" s="197"/>
      <c r="W259" s="197"/>
    </row>
    <row r="260" spans="2:23" s="196" customFormat="1" ht="12.75">
      <c r="B260" s="32" t="s">
        <v>92</v>
      </c>
      <c r="C260" s="25"/>
      <c r="D260" s="43">
        <v>0</v>
      </c>
      <c r="E260" s="43"/>
      <c r="F260" s="43">
        <v>89</v>
      </c>
      <c r="G260" s="43"/>
      <c r="H260" s="43">
        <v>0</v>
      </c>
      <c r="I260" s="43"/>
      <c r="J260" s="43">
        <v>-89</v>
      </c>
      <c r="K260" s="43"/>
      <c r="L260" s="43">
        <v>0</v>
      </c>
      <c r="M260" s="43"/>
      <c r="N260" s="43">
        <v>0</v>
      </c>
      <c r="O260" s="43"/>
      <c r="P260" s="43">
        <v>0</v>
      </c>
      <c r="Q260" s="199"/>
      <c r="R260" s="197"/>
      <c r="S260" s="197"/>
      <c r="T260" s="197"/>
      <c r="U260" s="197"/>
      <c r="V260" s="197"/>
      <c r="W260" s="197"/>
    </row>
    <row r="261" spans="1:23" s="194" customFormat="1" ht="12.75">
      <c r="A261" s="272"/>
      <c r="B261" s="98" t="s">
        <v>44</v>
      </c>
      <c r="C261" s="98"/>
      <c r="D261" s="44">
        <v>0</v>
      </c>
      <c r="E261" s="43"/>
      <c r="F261" s="44">
        <v>0</v>
      </c>
      <c r="G261" s="51"/>
      <c r="H261" s="44">
        <v>2409</v>
      </c>
      <c r="I261" s="43"/>
      <c r="J261" s="44">
        <v>0</v>
      </c>
      <c r="K261" s="43"/>
      <c r="L261" s="44">
        <v>0</v>
      </c>
      <c r="M261" s="43"/>
      <c r="N261" s="44">
        <v>0</v>
      </c>
      <c r="O261" s="43"/>
      <c r="P261" s="44">
        <v>2409</v>
      </c>
      <c r="Q261" s="51"/>
      <c r="R261" s="25"/>
      <c r="S261" s="25"/>
      <c r="T261" s="25"/>
      <c r="U261" s="25"/>
      <c r="V261" s="25"/>
      <c r="W261" s="25"/>
    </row>
    <row r="262" spans="1:23" s="194" customFormat="1" ht="12.75">
      <c r="A262" s="32" t="s">
        <v>148</v>
      </c>
      <c r="B262" s="32"/>
      <c r="C262" s="32"/>
      <c r="D262" s="104">
        <v>86583</v>
      </c>
      <c r="E262" s="104"/>
      <c r="F262" s="104">
        <v>0</v>
      </c>
      <c r="G262" s="104"/>
      <c r="H262" s="104">
        <v>237542</v>
      </c>
      <c r="I262" s="104"/>
      <c r="J262" s="104">
        <v>1147551</v>
      </c>
      <c r="K262" s="104"/>
      <c r="L262" s="104">
        <v>-23444</v>
      </c>
      <c r="M262" s="104"/>
      <c r="N262" s="104">
        <v>805</v>
      </c>
      <c r="O262" s="104"/>
      <c r="P262" s="104">
        <v>1449037</v>
      </c>
      <c r="Q262" s="51"/>
      <c r="R262" s="25"/>
      <c r="S262" s="25"/>
      <c r="T262" s="25"/>
      <c r="U262" s="25"/>
      <c r="V262" s="25"/>
      <c r="W262" s="25"/>
    </row>
    <row r="263" spans="1:23" s="194" customFormat="1" ht="13.5">
      <c r="A263" s="77" t="s">
        <v>222</v>
      </c>
      <c r="B263" s="32"/>
      <c r="C263" s="32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51"/>
      <c r="R263" s="25"/>
      <c r="S263" s="25"/>
      <c r="T263" s="25"/>
      <c r="U263" s="25"/>
      <c r="V263" s="25"/>
      <c r="W263" s="25"/>
    </row>
    <row r="264" spans="1:23" s="194" customFormat="1" ht="12.75">
      <c r="A264" s="193"/>
      <c r="B264" s="25" t="s">
        <v>91</v>
      </c>
      <c r="C264" s="32"/>
      <c r="D264" s="51">
        <v>0</v>
      </c>
      <c r="E264" s="51"/>
      <c r="F264" s="51">
        <v>0</v>
      </c>
      <c r="G264" s="51"/>
      <c r="H264" s="51">
        <v>0</v>
      </c>
      <c r="I264" s="51"/>
      <c r="J264" s="51">
        <v>16188</v>
      </c>
      <c r="K264" s="51"/>
      <c r="L264" s="51">
        <v>1401</v>
      </c>
      <c r="M264" s="51"/>
      <c r="N264" s="51">
        <v>67</v>
      </c>
      <c r="O264" s="51"/>
      <c r="P264" s="43">
        <v>17656</v>
      </c>
      <c r="Q264" s="51"/>
      <c r="R264" s="25"/>
      <c r="S264" s="25"/>
      <c r="T264" s="25"/>
      <c r="U264" s="25"/>
      <c r="V264" s="25"/>
      <c r="W264" s="25"/>
    </row>
    <row r="265" spans="1:23" s="194" customFormat="1" ht="12.75">
      <c r="A265" s="193"/>
      <c r="B265" s="25" t="s">
        <v>59</v>
      </c>
      <c r="C265" s="32"/>
      <c r="D265" s="51">
        <v>0</v>
      </c>
      <c r="E265" s="51"/>
      <c r="F265" s="51">
        <v>0</v>
      </c>
      <c r="G265" s="51"/>
      <c r="H265" s="51">
        <v>0</v>
      </c>
      <c r="I265" s="51"/>
      <c r="J265" s="51">
        <v>0</v>
      </c>
      <c r="K265" s="51"/>
      <c r="L265" s="51">
        <v>0</v>
      </c>
      <c r="M265" s="51"/>
      <c r="N265" s="51">
        <v>-860</v>
      </c>
      <c r="O265" s="51"/>
      <c r="P265" s="43">
        <v>-860</v>
      </c>
      <c r="Q265" s="51"/>
      <c r="R265" s="25"/>
      <c r="S265" s="25"/>
      <c r="T265" s="25"/>
      <c r="U265" s="25"/>
      <c r="V265" s="25"/>
      <c r="W265" s="25"/>
    </row>
    <row r="266" spans="1:23" s="194" customFormat="1" ht="12.75">
      <c r="A266" s="193"/>
      <c r="B266" s="32" t="s">
        <v>92</v>
      </c>
      <c r="C266" s="32"/>
      <c r="D266" s="51">
        <v>0</v>
      </c>
      <c r="E266" s="51"/>
      <c r="F266" s="51">
        <v>0</v>
      </c>
      <c r="G266" s="51"/>
      <c r="H266" s="51">
        <v>0</v>
      </c>
      <c r="I266" s="51"/>
      <c r="J266" s="51">
        <v>0</v>
      </c>
      <c r="K266" s="51"/>
      <c r="L266" s="51">
        <v>0</v>
      </c>
      <c r="M266" s="51"/>
      <c r="N266" s="51">
        <v>0</v>
      </c>
      <c r="O266" s="51"/>
      <c r="P266" s="43">
        <v>0</v>
      </c>
      <c r="Q266" s="51"/>
      <c r="R266" s="25"/>
      <c r="S266" s="25"/>
      <c r="T266" s="25"/>
      <c r="U266" s="25"/>
      <c r="V266" s="25"/>
      <c r="W266" s="25"/>
    </row>
    <row r="267" spans="1:23" s="194" customFormat="1" ht="12.75">
      <c r="A267" s="272"/>
      <c r="B267" s="98" t="s">
        <v>44</v>
      </c>
      <c r="C267" s="98"/>
      <c r="D267" s="44">
        <v>0</v>
      </c>
      <c r="E267" s="43"/>
      <c r="F267" s="44">
        <v>0</v>
      </c>
      <c r="G267" s="51"/>
      <c r="H267" s="44">
        <v>1096</v>
      </c>
      <c r="I267" s="43"/>
      <c r="J267" s="44">
        <v>0</v>
      </c>
      <c r="K267" s="43"/>
      <c r="L267" s="44">
        <v>0</v>
      </c>
      <c r="M267" s="43"/>
      <c r="N267" s="44">
        <v>0</v>
      </c>
      <c r="O267" s="43"/>
      <c r="P267" s="44">
        <v>1096</v>
      </c>
      <c r="Q267" s="51"/>
      <c r="R267" s="25"/>
      <c r="S267" s="25"/>
      <c r="T267" s="25"/>
      <c r="U267" s="25"/>
      <c r="V267" s="25"/>
      <c r="W267" s="25"/>
    </row>
    <row r="268" spans="1:23" s="194" customFormat="1" ht="12.75">
      <c r="A268" s="32" t="s">
        <v>221</v>
      </c>
      <c r="B268" s="32"/>
      <c r="C268" s="32"/>
      <c r="D268" s="104">
        <v>86583</v>
      </c>
      <c r="E268" s="104"/>
      <c r="F268" s="104">
        <v>0</v>
      </c>
      <c r="G268" s="104"/>
      <c r="H268" s="104">
        <v>238638</v>
      </c>
      <c r="I268" s="104"/>
      <c r="J268" s="104">
        <v>1163739</v>
      </c>
      <c r="K268" s="104"/>
      <c r="L268" s="104">
        <v>-22043</v>
      </c>
      <c r="M268" s="104"/>
      <c r="N268" s="104">
        <v>12</v>
      </c>
      <c r="O268" s="104"/>
      <c r="P268" s="104">
        <v>1466929</v>
      </c>
      <c r="Q268" s="51"/>
      <c r="R268" s="25"/>
      <c r="S268" s="25"/>
      <c r="T268" s="25"/>
      <c r="U268" s="25"/>
      <c r="V268" s="25"/>
      <c r="W268" s="25"/>
    </row>
    <row r="269" spans="1:23" s="194" customFormat="1" ht="13.5">
      <c r="A269" s="77" t="s">
        <v>235</v>
      </c>
      <c r="B269" s="32"/>
      <c r="C269" s="32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51"/>
      <c r="R269" s="25"/>
      <c r="S269" s="25"/>
      <c r="T269" s="25"/>
      <c r="U269" s="25"/>
      <c r="V269" s="25"/>
      <c r="W269" s="25"/>
    </row>
    <row r="270" spans="1:23" s="194" customFormat="1" ht="12.75">
      <c r="A270" s="193"/>
      <c r="B270" s="25" t="s">
        <v>91</v>
      </c>
      <c r="C270" s="32"/>
      <c r="D270" s="51">
        <v>0</v>
      </c>
      <c r="E270" s="51"/>
      <c r="F270" s="51">
        <v>0</v>
      </c>
      <c r="G270" s="51"/>
      <c r="H270" s="51">
        <v>0</v>
      </c>
      <c r="I270" s="51"/>
      <c r="J270" s="51">
        <v>-22300</v>
      </c>
      <c r="K270" s="51"/>
      <c r="L270" s="51">
        <f>-43-1862-1164-L264-73+312</f>
        <v>-4231</v>
      </c>
      <c r="M270" s="51"/>
      <c r="N270" s="51">
        <v>-5</v>
      </c>
      <c r="O270" s="51"/>
      <c r="P270" s="43">
        <f>SUM(D270:N270)</f>
        <v>-26536</v>
      </c>
      <c r="Q270" s="51"/>
      <c r="R270" s="25"/>
      <c r="S270" s="25"/>
      <c r="T270" s="25"/>
      <c r="U270" s="25"/>
      <c r="V270" s="25"/>
      <c r="W270" s="25"/>
    </row>
    <row r="271" spans="1:23" s="194" customFormat="1" ht="12.75">
      <c r="A271" s="193"/>
      <c r="B271" s="25" t="s">
        <v>243</v>
      </c>
      <c r="C271" s="32"/>
      <c r="D271" s="51">
        <v>0</v>
      </c>
      <c r="E271" s="51"/>
      <c r="F271" s="51">
        <v>-418</v>
      </c>
      <c r="G271" s="51"/>
      <c r="H271" s="51">
        <v>0</v>
      </c>
      <c r="I271" s="51"/>
      <c r="J271" s="51">
        <v>-8761</v>
      </c>
      <c r="K271" s="51"/>
      <c r="L271" s="51">
        <v>0</v>
      </c>
      <c r="M271" s="51"/>
      <c r="N271" s="51">
        <v>0</v>
      </c>
      <c r="O271" s="51"/>
      <c r="P271" s="43">
        <f>SUM(D271:N271)</f>
        <v>-9179</v>
      </c>
      <c r="Q271" s="51"/>
      <c r="R271" s="25"/>
      <c r="S271" s="25"/>
      <c r="T271" s="25"/>
      <c r="U271" s="25"/>
      <c r="V271" s="25"/>
      <c r="W271" s="25"/>
    </row>
    <row r="272" spans="1:23" s="194" customFormat="1" ht="12.75">
      <c r="A272" s="193"/>
      <c r="B272" s="32" t="s">
        <v>237</v>
      </c>
      <c r="C272" s="32"/>
      <c r="D272" s="51">
        <v>0</v>
      </c>
      <c r="E272" s="51"/>
      <c r="F272" s="51">
        <v>4</v>
      </c>
      <c r="G272" s="51"/>
      <c r="H272" s="51">
        <v>0</v>
      </c>
      <c r="I272" s="51"/>
      <c r="J272" s="51">
        <v>48</v>
      </c>
      <c r="K272" s="51"/>
      <c r="L272" s="51">
        <v>0</v>
      </c>
      <c r="M272" s="51"/>
      <c r="N272" s="51">
        <v>0</v>
      </c>
      <c r="O272" s="51"/>
      <c r="P272" s="43">
        <f>SUM(D272:N272)</f>
        <v>52</v>
      </c>
      <c r="Q272" s="51"/>
      <c r="R272" s="25"/>
      <c r="S272" s="25"/>
      <c r="T272" s="25"/>
      <c r="U272" s="25"/>
      <c r="V272" s="25"/>
      <c r="W272" s="25"/>
    </row>
    <row r="273" spans="1:23" s="194" customFormat="1" ht="12.75">
      <c r="A273" s="272"/>
      <c r="B273" s="98" t="s">
        <v>44</v>
      </c>
      <c r="C273" s="98"/>
      <c r="D273" s="44">
        <v>0</v>
      </c>
      <c r="E273" s="43"/>
      <c r="F273" s="44">
        <v>0</v>
      </c>
      <c r="G273" s="51"/>
      <c r="H273" s="44">
        <v>1667</v>
      </c>
      <c r="I273" s="43"/>
      <c r="J273" s="44">
        <v>0</v>
      </c>
      <c r="K273" s="43"/>
      <c r="L273" s="44">
        <v>0</v>
      </c>
      <c r="M273" s="43"/>
      <c r="N273" s="44">
        <v>0</v>
      </c>
      <c r="O273" s="43"/>
      <c r="P273" s="44">
        <f>SUM(D273:N273)</f>
        <v>1667</v>
      </c>
      <c r="Q273" s="51"/>
      <c r="R273" s="25"/>
      <c r="S273" s="25"/>
      <c r="T273" s="25"/>
      <c r="U273" s="25"/>
      <c r="V273" s="25"/>
      <c r="W273" s="25"/>
    </row>
    <row r="274" spans="1:23" s="194" customFormat="1" ht="12.75">
      <c r="A274" s="32" t="s">
        <v>242</v>
      </c>
      <c r="B274" s="32"/>
      <c r="C274" s="32"/>
      <c r="D274" s="104">
        <f>SUM(D268:D273)</f>
        <v>86583</v>
      </c>
      <c r="E274" s="104"/>
      <c r="F274" s="104">
        <f>SUM(F268:F273)</f>
        <v>-414</v>
      </c>
      <c r="G274" s="104"/>
      <c r="H274" s="104">
        <f>SUM(H268:H273)</f>
        <v>240305</v>
      </c>
      <c r="I274" s="104"/>
      <c r="J274" s="104">
        <f>SUM(J268:J273)</f>
        <v>1132726</v>
      </c>
      <c r="K274" s="104"/>
      <c r="L274" s="104">
        <f>SUM(L268:L273)</f>
        <v>-26274</v>
      </c>
      <c r="M274" s="104"/>
      <c r="N274" s="104">
        <f>SUM(N268:N273)</f>
        <v>7</v>
      </c>
      <c r="O274" s="104"/>
      <c r="P274" s="104">
        <f>SUM(P268:P273)</f>
        <v>1432933</v>
      </c>
      <c r="Q274" s="51"/>
      <c r="R274" s="25"/>
      <c r="S274" s="25"/>
      <c r="T274" s="25"/>
      <c r="U274" s="25"/>
      <c r="V274" s="25"/>
      <c r="W274" s="25"/>
    </row>
    <row r="275" spans="1:23" s="194" customFormat="1" ht="13.5">
      <c r="A275" s="77" t="s">
        <v>250</v>
      </c>
      <c r="B275" s="32"/>
      <c r="C275" s="32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51"/>
      <c r="R275" s="25"/>
      <c r="S275" s="25"/>
      <c r="T275" s="25"/>
      <c r="U275" s="25"/>
      <c r="V275" s="25"/>
      <c r="W275" s="25"/>
    </row>
    <row r="276" spans="1:23" s="194" customFormat="1" ht="12.75">
      <c r="A276" s="193"/>
      <c r="B276" s="25" t="s">
        <v>91</v>
      </c>
      <c r="C276" s="32"/>
      <c r="D276" s="51">
        <v>0</v>
      </c>
      <c r="E276" s="51"/>
      <c r="F276" s="51">
        <v>0</v>
      </c>
      <c r="G276" s="51"/>
      <c r="H276" s="51">
        <v>0</v>
      </c>
      <c r="I276" s="51"/>
      <c r="J276" s="51">
        <f>+'[1]IS'!$F$31</f>
        <v>-41197</v>
      </c>
      <c r="K276" s="51"/>
      <c r="L276" s="51">
        <f>+'[1]Compr &amp; BS'!$G$16</f>
        <v>5009</v>
      </c>
      <c r="M276" s="51"/>
      <c r="N276" s="51">
        <v>5</v>
      </c>
      <c r="O276" s="51"/>
      <c r="P276" s="43">
        <f>SUM(D276:N276)</f>
        <v>-36183</v>
      </c>
      <c r="Q276" s="51"/>
      <c r="R276" s="290"/>
      <c r="S276" s="25"/>
      <c r="T276" s="25"/>
      <c r="U276" s="25"/>
      <c r="V276" s="25"/>
      <c r="W276" s="25"/>
    </row>
    <row r="277" spans="1:23" s="194" customFormat="1" ht="12.75">
      <c r="A277" s="193"/>
      <c r="B277" s="32" t="s">
        <v>237</v>
      </c>
      <c r="C277" s="32"/>
      <c r="D277" s="51">
        <v>0</v>
      </c>
      <c r="E277" s="51"/>
      <c r="F277" s="51">
        <v>44</v>
      </c>
      <c r="G277" s="51"/>
      <c r="H277" s="51">
        <v>0</v>
      </c>
      <c r="I277" s="51"/>
      <c r="J277" s="51">
        <f>872-328</f>
        <v>544</v>
      </c>
      <c r="K277" s="51"/>
      <c r="L277" s="51">
        <v>0</v>
      </c>
      <c r="M277" s="51"/>
      <c r="N277" s="51">
        <v>0</v>
      </c>
      <c r="O277" s="51"/>
      <c r="P277" s="43">
        <f>SUM(D277:N277)</f>
        <v>588</v>
      </c>
      <c r="Q277" s="51"/>
      <c r="R277" s="43"/>
      <c r="S277" s="25"/>
      <c r="T277" s="25"/>
      <c r="U277" s="25"/>
      <c r="V277" s="25"/>
      <c r="W277" s="25"/>
    </row>
    <row r="278" spans="1:23" s="194" customFormat="1" ht="12.75">
      <c r="A278" s="193"/>
      <c r="B278" s="98" t="s">
        <v>44</v>
      </c>
      <c r="C278" s="32"/>
      <c r="D278" s="51">
        <v>0</v>
      </c>
      <c r="E278" s="51"/>
      <c r="F278" s="51">
        <v>0</v>
      </c>
      <c r="G278" s="51"/>
      <c r="H278" s="51">
        <f>1091+328</f>
        <v>1419</v>
      </c>
      <c r="I278" s="51"/>
      <c r="J278" s="51">
        <v>0</v>
      </c>
      <c r="K278" s="51"/>
      <c r="L278" s="51">
        <v>0</v>
      </c>
      <c r="M278" s="51"/>
      <c r="N278" s="51">
        <v>0</v>
      </c>
      <c r="O278" s="51"/>
      <c r="P278" s="43">
        <f>SUM(D278:N278)</f>
        <v>1419</v>
      </c>
      <c r="Q278" s="51"/>
      <c r="R278" s="43"/>
      <c r="S278" s="25"/>
      <c r="T278" s="25"/>
      <c r="U278" s="25"/>
      <c r="V278" s="25"/>
      <c r="W278" s="25"/>
    </row>
    <row r="279" spans="1:23" s="138" customFormat="1" ht="12.75">
      <c r="A279" s="159" t="s">
        <v>251</v>
      </c>
      <c r="B279" s="159"/>
      <c r="C279" s="137"/>
      <c r="D279" s="160">
        <f>SUM(D274:D278)</f>
        <v>86583</v>
      </c>
      <c r="E279" s="95"/>
      <c r="F279" s="160">
        <f>SUM(F274:F278)</f>
        <v>-370</v>
      </c>
      <c r="G279" s="95"/>
      <c r="H279" s="160">
        <f>SUM(H274:H278)</f>
        <v>241724</v>
      </c>
      <c r="I279" s="95"/>
      <c r="J279" s="160">
        <f>SUM(J274:J278)</f>
        <v>1092073</v>
      </c>
      <c r="K279" s="95"/>
      <c r="L279" s="160">
        <f>SUM(L274:L278)</f>
        <v>-21265</v>
      </c>
      <c r="M279" s="95"/>
      <c r="N279" s="160">
        <f>SUM(N274:N278)</f>
        <v>12</v>
      </c>
      <c r="O279" s="95"/>
      <c r="P279" s="160">
        <f>SUM(P274:P278)</f>
        <v>1398757</v>
      </c>
      <c r="Q279" s="137"/>
      <c r="R279" s="137"/>
      <c r="S279" s="137"/>
      <c r="T279" s="137"/>
      <c r="U279" s="137"/>
      <c r="V279" s="137"/>
      <c r="W279" s="137"/>
    </row>
    <row r="280" spans="1:24" ht="12.75">
      <c r="A280" s="2" t="s">
        <v>4</v>
      </c>
      <c r="B280" s="2" t="s">
        <v>122</v>
      </c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296"/>
      <c r="Q280" s="90"/>
      <c r="R280" s="91"/>
      <c r="S280" s="91"/>
      <c r="T280" s="91"/>
      <c r="U280" s="220"/>
      <c r="V280" s="221"/>
      <c r="W280" s="114"/>
      <c r="X280" s="114"/>
    </row>
    <row r="281" spans="1:21" ht="12.75">
      <c r="A281" s="2" t="s">
        <v>3</v>
      </c>
      <c r="B281" s="2" t="s">
        <v>123</v>
      </c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1"/>
      <c r="S281" s="91"/>
      <c r="T281" s="91"/>
      <c r="U281" s="75"/>
    </row>
    <row r="282" spans="4:21" ht="12.75"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1"/>
      <c r="S282" s="91"/>
      <c r="T282" s="91"/>
      <c r="U282" s="75"/>
    </row>
    <row r="283" spans="1:21" ht="12.75">
      <c r="A283" s="157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</row>
    <row r="284" spans="1:21" ht="15">
      <c r="A284" s="42" t="s">
        <v>127</v>
      </c>
      <c r="D284" s="278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</row>
    <row r="285" spans="1:20" ht="13.5" thickBot="1">
      <c r="A285" s="6" t="s">
        <v>22</v>
      </c>
      <c r="B285" s="6"/>
      <c r="C285" s="6"/>
      <c r="D285" s="20"/>
      <c r="E285" s="20"/>
      <c r="F285" s="20"/>
      <c r="G285" s="20"/>
      <c r="H285" s="20"/>
      <c r="I285" s="18"/>
      <c r="J285" s="18"/>
      <c r="K285" s="18"/>
      <c r="L285" s="18"/>
      <c r="M285" s="18"/>
      <c r="N285" s="18"/>
      <c r="O285" s="18"/>
      <c r="Q285" s="16"/>
      <c r="T285" s="16"/>
    </row>
    <row r="286" spans="4:16" ht="12.75">
      <c r="D286" s="305" t="s">
        <v>248</v>
      </c>
      <c r="E286" s="305"/>
      <c r="F286" s="305"/>
      <c r="G286" s="1"/>
      <c r="H286" s="264" t="s">
        <v>6</v>
      </c>
      <c r="I286" s="265"/>
      <c r="J286" s="265"/>
      <c r="K286" s="32"/>
      <c r="L286" s="114"/>
      <c r="M286" s="114"/>
      <c r="N286" s="25"/>
      <c r="O286" s="25"/>
      <c r="P286" s="22"/>
    </row>
    <row r="287" spans="1:16" ht="12.75">
      <c r="A287" s="13" t="s">
        <v>7</v>
      </c>
      <c r="B287" s="13"/>
      <c r="D287" s="54">
        <v>2010</v>
      </c>
      <c r="E287" s="11"/>
      <c r="F287" s="26">
        <v>2009</v>
      </c>
      <c r="G287" s="65"/>
      <c r="H287" s="260">
        <v>2009</v>
      </c>
      <c r="I287" s="28"/>
      <c r="J287" s="65"/>
      <c r="K287" s="32"/>
      <c r="L287" s="114"/>
      <c r="M287" s="114"/>
      <c r="N287" s="25"/>
      <c r="O287" s="25"/>
      <c r="P287" s="22"/>
    </row>
    <row r="288" spans="1:17" ht="12.75">
      <c r="A288" s="62"/>
      <c r="B288" s="62"/>
      <c r="D288" s="311" t="s">
        <v>5</v>
      </c>
      <c r="E288" s="311"/>
      <c r="F288" s="311"/>
      <c r="G288" s="284"/>
      <c r="H288" s="16"/>
      <c r="I288" s="5"/>
      <c r="J288" s="32"/>
      <c r="K288" s="32"/>
      <c r="L288" s="32"/>
      <c r="M288" s="114"/>
      <c r="N288" s="114"/>
      <c r="O288" s="25"/>
      <c r="P288" s="25"/>
      <c r="Q288" s="22"/>
    </row>
    <row r="289" spans="1:16" ht="12.75">
      <c r="A289" s="2"/>
      <c r="B289" s="2" t="s">
        <v>21</v>
      </c>
      <c r="C289" s="2"/>
      <c r="D289" s="56">
        <v>167962.91716</v>
      </c>
      <c r="E289" s="278"/>
      <c r="F289" s="131">
        <v>184008</v>
      </c>
      <c r="G289" s="131"/>
      <c r="H289" s="22">
        <v>125961</v>
      </c>
      <c r="I289" s="28"/>
      <c r="J289" s="115"/>
      <c r="K289" s="32"/>
      <c r="L289" s="114"/>
      <c r="M289" s="114"/>
      <c r="N289" s="25"/>
      <c r="O289" s="25"/>
      <c r="P289" s="22"/>
    </row>
    <row r="290" spans="1:16" ht="12.75">
      <c r="A290" s="2"/>
      <c r="B290" s="2" t="s">
        <v>25</v>
      </c>
      <c r="C290" s="2"/>
      <c r="D290" s="56">
        <v>16367</v>
      </c>
      <c r="E290" s="278"/>
      <c r="F290" s="22">
        <v>26101</v>
      </c>
      <c r="G290" s="22"/>
      <c r="H290" s="22">
        <f>7977+10014</f>
        <v>17991</v>
      </c>
      <c r="I290" s="28"/>
      <c r="J290" s="115"/>
      <c r="K290" s="32"/>
      <c r="L290" s="114"/>
      <c r="M290" s="114"/>
      <c r="N290" s="25"/>
      <c r="O290" s="25"/>
      <c r="P290" s="22"/>
    </row>
    <row r="291" spans="1:16" ht="12.75">
      <c r="A291" s="2"/>
      <c r="B291" s="2" t="s">
        <v>23</v>
      </c>
      <c r="C291" s="2"/>
      <c r="D291" s="56">
        <v>0</v>
      </c>
      <c r="E291" s="278"/>
      <c r="F291" s="22">
        <v>-15790</v>
      </c>
      <c r="G291" s="22"/>
      <c r="H291" s="22">
        <v>-26109</v>
      </c>
      <c r="I291" s="28"/>
      <c r="J291" s="115"/>
      <c r="K291" s="32"/>
      <c r="L291" s="114"/>
      <c r="M291" s="114"/>
      <c r="N291" s="25"/>
      <c r="O291" s="25"/>
      <c r="P291" s="22"/>
    </row>
    <row r="292" spans="1:16" ht="12.75">
      <c r="A292" s="2"/>
      <c r="B292" s="2" t="s">
        <v>24</v>
      </c>
      <c r="C292" s="2"/>
      <c r="D292" s="56">
        <v>0</v>
      </c>
      <c r="E292" s="278"/>
      <c r="F292" s="22">
        <v>-462</v>
      </c>
      <c r="G292" s="22"/>
      <c r="H292" s="22">
        <v>-348</v>
      </c>
      <c r="I292" s="28"/>
      <c r="J292" s="115"/>
      <c r="K292" s="32"/>
      <c r="L292" s="114"/>
      <c r="M292" s="114"/>
      <c r="N292" s="25"/>
      <c r="O292" s="25"/>
      <c r="P292" s="22"/>
    </row>
    <row r="293" spans="1:16" ht="12.75">
      <c r="A293" s="2"/>
      <c r="B293" s="2" t="s">
        <v>50</v>
      </c>
      <c r="C293" s="2"/>
      <c r="D293" s="56">
        <v>-780168</v>
      </c>
      <c r="E293" s="278"/>
      <c r="F293" s="22">
        <v>-996775</v>
      </c>
      <c r="G293" s="22"/>
      <c r="H293" s="22">
        <v>-882580</v>
      </c>
      <c r="I293" s="28"/>
      <c r="J293" s="115"/>
      <c r="K293" s="32"/>
      <c r="L293" s="114"/>
      <c r="M293" s="114"/>
      <c r="N293" s="25"/>
      <c r="O293" s="25"/>
      <c r="P293" s="22"/>
    </row>
    <row r="294" spans="1:16" ht="12.75">
      <c r="A294" s="2"/>
      <c r="B294" s="2" t="s">
        <v>51</v>
      </c>
      <c r="C294" s="2"/>
      <c r="D294" s="56">
        <v>-7097</v>
      </c>
      <c r="E294" s="278"/>
      <c r="F294" s="22">
        <v>-10063</v>
      </c>
      <c r="G294" s="22"/>
      <c r="H294" s="22">
        <v>-8954</v>
      </c>
      <c r="I294" s="28"/>
      <c r="J294" s="115"/>
      <c r="K294" s="32"/>
      <c r="L294" s="114"/>
      <c r="M294" s="114"/>
      <c r="N294" s="25"/>
      <c r="O294" s="25"/>
      <c r="P294" s="22"/>
    </row>
    <row r="295" spans="1:16" ht="12.75">
      <c r="A295" s="4"/>
      <c r="B295" s="4" t="s">
        <v>0</v>
      </c>
      <c r="C295" s="2"/>
      <c r="D295" s="58">
        <f>SUM(D289:D294)</f>
        <v>-602935.08284</v>
      </c>
      <c r="E295" s="16"/>
      <c r="F295" s="29">
        <f>SUM(F289:F294)</f>
        <v>-812981</v>
      </c>
      <c r="G295" s="30"/>
      <c r="H295" s="29">
        <f>SUM(H289:H294)</f>
        <v>-774039</v>
      </c>
      <c r="I295" s="30"/>
      <c r="J295" s="115"/>
      <c r="K295" s="32"/>
      <c r="L295" s="114"/>
      <c r="M295" s="114"/>
      <c r="N295" s="25"/>
      <c r="O295" s="25"/>
      <c r="P295" s="22"/>
    </row>
    <row r="296" spans="1:20" ht="12.75">
      <c r="A296" s="5"/>
      <c r="B296" s="5"/>
      <c r="D296" s="205"/>
      <c r="E296" s="16"/>
      <c r="F296" s="30"/>
      <c r="G296" s="30"/>
      <c r="H296" s="30"/>
      <c r="I296" s="30"/>
      <c r="J296" s="30"/>
      <c r="K296" s="30"/>
      <c r="L296" s="28"/>
      <c r="M296" s="30"/>
      <c r="N296" s="115"/>
      <c r="O296" s="32"/>
      <c r="P296" s="114"/>
      <c r="Q296" s="114"/>
      <c r="R296" s="25"/>
      <c r="S296" s="25"/>
      <c r="T296" s="22"/>
    </row>
    <row r="297" spans="1:21" ht="12.75">
      <c r="A297" s="5"/>
      <c r="B297" s="5"/>
      <c r="D297" s="30"/>
      <c r="E297" s="16"/>
      <c r="F297" s="30"/>
      <c r="G297" s="30"/>
      <c r="H297" s="30"/>
      <c r="I297" s="30"/>
      <c r="J297" s="30"/>
      <c r="K297" s="30"/>
      <c r="L297" s="30"/>
      <c r="M297" s="18"/>
      <c r="N297" s="30"/>
      <c r="O297" s="115"/>
      <c r="P297" s="32"/>
      <c r="Q297" s="114"/>
      <c r="R297" s="114"/>
      <c r="S297" s="25"/>
      <c r="T297" s="25"/>
      <c r="U297" s="22"/>
    </row>
    <row r="298" spans="1:22" ht="15">
      <c r="A298" s="42" t="s">
        <v>146</v>
      </c>
      <c r="B298" s="5"/>
      <c r="D298" s="105"/>
      <c r="F298" s="14"/>
      <c r="G298" s="14"/>
      <c r="H298" s="14"/>
      <c r="I298" s="14"/>
      <c r="J298" s="14"/>
      <c r="K298" s="14"/>
      <c r="L298" s="256"/>
      <c r="M298" s="14"/>
      <c r="N298" s="14"/>
      <c r="V298" s="73"/>
    </row>
    <row r="299" spans="1:20" ht="13.5" thickBot="1">
      <c r="A299" s="37" t="s">
        <v>129</v>
      </c>
      <c r="B299" s="37"/>
      <c r="C299" s="37"/>
      <c r="D299" s="76"/>
      <c r="E299" s="49"/>
      <c r="F299" s="49"/>
      <c r="G299" s="49"/>
      <c r="H299" s="49"/>
      <c r="I299" s="49"/>
      <c r="J299" s="49"/>
      <c r="K299" s="49"/>
      <c r="L299" s="49"/>
      <c r="M299" s="28"/>
      <c r="N299" s="156"/>
      <c r="O299" s="50"/>
      <c r="P299" s="50"/>
      <c r="Q299" s="48"/>
      <c r="R299" s="48"/>
      <c r="S299" s="48"/>
      <c r="T299" s="48"/>
    </row>
    <row r="300" spans="1:19" ht="12.75">
      <c r="A300" s="32"/>
      <c r="B300" s="32"/>
      <c r="C300" s="32"/>
      <c r="D300" s="309" t="s">
        <v>8</v>
      </c>
      <c r="E300" s="309"/>
      <c r="F300" s="309"/>
      <c r="G300" s="294"/>
      <c r="H300" s="306" t="s">
        <v>249</v>
      </c>
      <c r="I300" s="306"/>
      <c r="J300" s="306"/>
      <c r="K300" s="117"/>
      <c r="L300" s="266" t="s">
        <v>36</v>
      </c>
      <c r="M300" s="267"/>
      <c r="N300" s="267"/>
      <c r="O300" s="50"/>
      <c r="P300" s="50"/>
      <c r="Q300" s="48"/>
      <c r="R300" s="48"/>
      <c r="S300" s="48"/>
    </row>
    <row r="301" spans="1:19" ht="12.75">
      <c r="A301" s="25"/>
      <c r="B301" s="25"/>
      <c r="C301" s="25"/>
      <c r="D301" s="305" t="s">
        <v>248</v>
      </c>
      <c r="E301" s="305"/>
      <c r="F301" s="305"/>
      <c r="G301" s="1"/>
      <c r="H301" s="305" t="s">
        <v>248</v>
      </c>
      <c r="I301" s="305"/>
      <c r="J301" s="305"/>
      <c r="K301" s="64"/>
      <c r="L301" s="264" t="s">
        <v>6</v>
      </c>
      <c r="M301" s="265"/>
      <c r="N301" s="265"/>
      <c r="O301" s="50"/>
      <c r="P301" s="50"/>
      <c r="Q301" s="48"/>
      <c r="R301" s="48"/>
      <c r="S301" s="48"/>
    </row>
    <row r="302" spans="1:19" ht="12.75">
      <c r="A302" s="45" t="s">
        <v>7</v>
      </c>
      <c r="B302" s="45"/>
      <c r="C302" s="25"/>
      <c r="D302" s="54">
        <v>2010</v>
      </c>
      <c r="E302" s="121"/>
      <c r="F302" s="26">
        <v>2009</v>
      </c>
      <c r="G302" s="65"/>
      <c r="H302" s="276">
        <v>2010</v>
      </c>
      <c r="I302" s="121"/>
      <c r="J302" s="285">
        <v>2009</v>
      </c>
      <c r="K302" s="65"/>
      <c r="L302" s="260">
        <v>2009</v>
      </c>
      <c r="M302" s="107"/>
      <c r="N302" s="65"/>
      <c r="O302" s="50"/>
      <c r="P302" s="50"/>
      <c r="Q302" s="48"/>
      <c r="R302" s="48"/>
      <c r="S302" s="48"/>
    </row>
    <row r="303" spans="1:20" ht="12.75">
      <c r="A303" s="61"/>
      <c r="B303" s="61"/>
      <c r="C303" s="25"/>
      <c r="D303" s="307" t="s">
        <v>5</v>
      </c>
      <c r="E303" s="307"/>
      <c r="F303" s="307"/>
      <c r="G303" s="307"/>
      <c r="H303" s="307"/>
      <c r="I303" s="307"/>
      <c r="J303" s="307"/>
      <c r="K303" s="307"/>
      <c r="L303" s="307"/>
      <c r="M303" s="204"/>
      <c r="N303" s="204"/>
      <c r="O303" s="255"/>
      <c r="P303" s="255"/>
      <c r="Q303" s="48"/>
      <c r="R303" s="48"/>
      <c r="S303" s="48"/>
      <c r="T303" s="48"/>
    </row>
    <row r="304" spans="2:20" s="114" customFormat="1" ht="12.75">
      <c r="B304" s="25" t="s">
        <v>130</v>
      </c>
      <c r="C304" s="25"/>
      <c r="D304" s="218">
        <f>+'[1]IS'!$F$26</f>
        <v>-43014</v>
      </c>
      <c r="E304" s="24"/>
      <c r="F304" s="24">
        <f>+'[1]IS'!$H$26</f>
        <v>52122</v>
      </c>
      <c r="G304" s="24"/>
      <c r="H304" s="218">
        <f>+'[1]IS'!$J$26</f>
        <v>-57599</v>
      </c>
      <c r="I304" s="24"/>
      <c r="J304" s="24">
        <f>+'[1]IS'!$L$26</f>
        <v>149908</v>
      </c>
      <c r="K304" s="24"/>
      <c r="L304" s="232">
        <f>+'[1]IS'!$N$26</f>
        <v>176167</v>
      </c>
      <c r="M304" s="23"/>
      <c r="N304" s="23"/>
      <c r="O304" s="268"/>
      <c r="P304" s="268"/>
      <c r="Q304" s="109"/>
      <c r="R304" s="109"/>
      <c r="S304" s="109"/>
      <c r="T304" s="25"/>
    </row>
    <row r="305" spans="2:20" s="114" customFormat="1" ht="12.75">
      <c r="B305" s="25" t="s">
        <v>131</v>
      </c>
      <c r="C305" s="25"/>
      <c r="D305" s="56">
        <f>+'[1]IS'!$F$27</f>
        <v>1822</v>
      </c>
      <c r="E305" s="24"/>
      <c r="F305" s="22">
        <f>+'[1]IS'!$H$27</f>
        <v>-4375</v>
      </c>
      <c r="G305" s="22"/>
      <c r="H305" s="56">
        <f>+'[1]IS'!$J$27</f>
        <v>10357</v>
      </c>
      <c r="I305" s="24"/>
      <c r="J305" s="22">
        <f>+'[1]IS'!$L$27</f>
        <v>-6957</v>
      </c>
      <c r="K305" s="24"/>
      <c r="L305" s="28">
        <f>+'[1]IS'!$N$27</f>
        <v>-8248</v>
      </c>
      <c r="M305" s="23"/>
      <c r="N305" s="28"/>
      <c r="O305" s="268"/>
      <c r="P305" s="268"/>
      <c r="Q305" s="109"/>
      <c r="R305" s="109"/>
      <c r="S305" s="109"/>
      <c r="T305" s="25"/>
    </row>
    <row r="306" spans="2:20" s="114" customFormat="1" ht="12.75">
      <c r="B306" s="25" t="s">
        <v>132</v>
      </c>
      <c r="C306" s="25"/>
      <c r="D306" s="56">
        <f>-'[1]IS'!$F$30</f>
        <v>-5</v>
      </c>
      <c r="E306" s="24"/>
      <c r="F306" s="22">
        <f>-'[1]IS'!$H$30</f>
        <v>1</v>
      </c>
      <c r="G306" s="22"/>
      <c r="H306" s="56">
        <f>-'[1]IS'!$J$30</f>
        <v>-67</v>
      </c>
      <c r="I306" s="24"/>
      <c r="J306" s="22">
        <f>-'[1]IS'!$L$30</f>
        <v>3</v>
      </c>
      <c r="K306" s="24"/>
      <c r="L306" s="28">
        <f>-'[1]IS'!$N$30</f>
        <v>-2094</v>
      </c>
      <c r="M306" s="28"/>
      <c r="N306" s="28"/>
      <c r="O306" s="268"/>
      <c r="P306" s="268"/>
      <c r="Q306" s="109"/>
      <c r="R306" s="109"/>
      <c r="S306" s="109"/>
      <c r="T306" s="25"/>
    </row>
    <row r="307" spans="1:19" ht="12.75">
      <c r="A307" s="106"/>
      <c r="B307" s="106" t="s">
        <v>133</v>
      </c>
      <c r="C307" s="25"/>
      <c r="D307" s="58">
        <f>SUM(D304:D306)</f>
        <v>-41197</v>
      </c>
      <c r="E307" s="33"/>
      <c r="F307" s="29">
        <f>SUM(F304:F306)</f>
        <v>47748</v>
      </c>
      <c r="G307" s="30"/>
      <c r="H307" s="58">
        <f>SUM(H304:H306)</f>
        <v>-47309</v>
      </c>
      <c r="I307" s="33"/>
      <c r="J307" s="29">
        <f>SUM(J304:J306)</f>
        <v>142954</v>
      </c>
      <c r="K307" s="33"/>
      <c r="L307" s="29">
        <f>SUM(L304:L306)</f>
        <v>165825</v>
      </c>
      <c r="M307" s="23"/>
      <c r="N307" s="30"/>
      <c r="O307" s="50"/>
      <c r="P307" s="50"/>
      <c r="Q307" s="48"/>
      <c r="R307" s="48"/>
      <c r="S307" s="48"/>
    </row>
    <row r="308" spans="1:19" ht="12.75">
      <c r="A308" s="19"/>
      <c r="C308" s="5"/>
      <c r="D308" s="48"/>
      <c r="E308" s="50"/>
      <c r="F308" s="48"/>
      <c r="G308" s="48"/>
      <c r="H308" s="270"/>
      <c r="I308" s="50"/>
      <c r="J308" s="48"/>
      <c r="K308" s="48"/>
      <c r="L308" s="48"/>
      <c r="M308" s="50"/>
      <c r="N308" s="50"/>
      <c r="O308" s="50"/>
      <c r="P308" s="50"/>
      <c r="Q308" s="48"/>
      <c r="R308" s="48"/>
      <c r="S308" s="48"/>
    </row>
    <row r="309" spans="2:20" s="114" customFormat="1" ht="12.75">
      <c r="B309" s="25" t="s">
        <v>134</v>
      </c>
      <c r="C309" s="25"/>
      <c r="D309" s="56">
        <f>+L309-0</f>
        <v>0</v>
      </c>
      <c r="E309" s="22"/>
      <c r="F309" s="22">
        <v>0</v>
      </c>
      <c r="G309" s="22"/>
      <c r="H309" s="56">
        <f>+P309-0</f>
        <v>0</v>
      </c>
      <c r="I309" s="22"/>
      <c r="J309" s="22">
        <v>0</v>
      </c>
      <c r="K309" s="28"/>
      <c r="L309" s="22">
        <v>0</v>
      </c>
      <c r="M309" s="28"/>
      <c r="N309" s="28"/>
      <c r="O309" s="268"/>
      <c r="P309" s="268"/>
      <c r="Q309" s="109"/>
      <c r="R309" s="109"/>
      <c r="S309" s="109"/>
      <c r="T309" s="25"/>
    </row>
    <row r="310" spans="1:19" ht="12.75">
      <c r="A310" s="106"/>
      <c r="B310" s="106" t="s">
        <v>135</v>
      </c>
      <c r="C310" s="25"/>
      <c r="D310" s="58">
        <f>D307+D309</f>
        <v>-41197</v>
      </c>
      <c r="E310" s="33"/>
      <c r="F310" s="29">
        <f>F307+F309</f>
        <v>47748</v>
      </c>
      <c r="G310" s="30"/>
      <c r="H310" s="58">
        <f>H307+H309</f>
        <v>-47309</v>
      </c>
      <c r="I310" s="33"/>
      <c r="J310" s="29">
        <f>J307+J309</f>
        <v>142954</v>
      </c>
      <c r="K310" s="33"/>
      <c r="L310" s="29">
        <f>L307+L309</f>
        <v>165825</v>
      </c>
      <c r="M310" s="23"/>
      <c r="N310" s="30"/>
      <c r="O310" s="50"/>
      <c r="P310" s="50"/>
      <c r="Q310" s="48"/>
      <c r="R310" s="48"/>
      <c r="S310" s="48"/>
    </row>
    <row r="311" spans="1:20" s="114" customFormat="1" ht="12.75">
      <c r="A311" s="32"/>
      <c r="B311" s="32"/>
      <c r="C311" s="25"/>
      <c r="D311" s="30"/>
      <c r="E311" s="33"/>
      <c r="F311" s="205"/>
      <c r="G311" s="205"/>
      <c r="H311" s="287"/>
      <c r="I311" s="33"/>
      <c r="J311" s="205"/>
      <c r="K311" s="33"/>
      <c r="L311" s="30"/>
      <c r="M311" s="23"/>
      <c r="N311" s="30"/>
      <c r="O311" s="268"/>
      <c r="P311" s="268"/>
      <c r="Q311" s="109"/>
      <c r="R311" s="109"/>
      <c r="S311" s="109"/>
      <c r="T311" s="25"/>
    </row>
    <row r="312" spans="1:18" s="168" customFormat="1" ht="12.75">
      <c r="A312" s="163" t="s">
        <v>140</v>
      </c>
      <c r="C312" s="164"/>
      <c r="D312" s="165"/>
      <c r="E312" s="164"/>
      <c r="F312" s="206"/>
      <c r="G312" s="206"/>
      <c r="H312" s="165"/>
      <c r="I312" s="164"/>
      <c r="J312" s="206"/>
      <c r="K312" s="167"/>
      <c r="L312" s="166"/>
      <c r="M312" s="166"/>
      <c r="N312" s="166"/>
      <c r="O312" s="166"/>
      <c r="P312" s="167"/>
      <c r="Q312" s="166"/>
      <c r="R312" s="162"/>
    </row>
    <row r="313" spans="2:16" s="168" customFormat="1" ht="12.75">
      <c r="B313" s="169" t="s">
        <v>136</v>
      </c>
      <c r="C313" s="163"/>
      <c r="D313" s="171">
        <f>D307*1000/D319</f>
        <v>-0.20894776605940615</v>
      </c>
      <c r="E313" s="162"/>
      <c r="F313" s="162">
        <f>F307*1000/F319</f>
        <v>0.24137309931385345</v>
      </c>
      <c r="G313" s="162"/>
      <c r="H313" s="171">
        <f>H307*1000/H319</f>
        <v>-0.2393010993122164</v>
      </c>
      <c r="I313" s="162"/>
      <c r="J313" s="162">
        <f>J307*1000/J319</f>
        <v>0.768124095548439</v>
      </c>
      <c r="K313" s="162"/>
      <c r="L313" s="162">
        <f>L307*1000/L319</f>
        <v>0.8770975156837159</v>
      </c>
      <c r="M313" s="162"/>
      <c r="N313" s="162"/>
      <c r="O313" s="162"/>
      <c r="P313" s="172"/>
    </row>
    <row r="314" spans="2:16" s="168" customFormat="1" ht="12.75">
      <c r="B314" s="169" t="s">
        <v>145</v>
      </c>
      <c r="C314" s="163"/>
      <c r="D314" s="171">
        <f>D310*1000/D321</f>
        <v>-0.20894776605940615</v>
      </c>
      <c r="E314" s="173"/>
      <c r="F314" s="174">
        <f>F310*1000/F321</f>
        <v>0.24137309931385345</v>
      </c>
      <c r="G314" s="174"/>
      <c r="H314" s="171">
        <f>H310*1000/H321</f>
        <v>-0.2393010993122164</v>
      </c>
      <c r="I314" s="173"/>
      <c r="J314" s="174">
        <f>J310*1000/J321</f>
        <v>0.768124095548439</v>
      </c>
      <c r="K314" s="174"/>
      <c r="L314" s="174">
        <f>L310*1000/L321</f>
        <v>0.8770952007148465</v>
      </c>
      <c r="M314" s="173"/>
      <c r="N314" s="174"/>
      <c r="O314" s="173"/>
      <c r="P314" s="172"/>
    </row>
    <row r="315" spans="1:17" s="168" customFormat="1" ht="12.75">
      <c r="A315" s="164" t="s">
        <v>137</v>
      </c>
      <c r="C315" s="163"/>
      <c r="D315" s="175"/>
      <c r="E315" s="176"/>
      <c r="F315" s="177"/>
      <c r="G315" s="177"/>
      <c r="H315" s="175"/>
      <c r="I315" s="176"/>
      <c r="J315" s="177"/>
      <c r="K315" s="177"/>
      <c r="L315" s="177"/>
      <c r="M315" s="176"/>
      <c r="N315" s="177"/>
      <c r="O315" s="176"/>
      <c r="P315" s="172"/>
      <c r="Q315" s="157"/>
    </row>
    <row r="316" spans="2:16" s="168" customFormat="1" ht="12.75">
      <c r="B316" s="178" t="s">
        <v>136</v>
      </c>
      <c r="C316" s="163"/>
      <c r="D316" s="171">
        <f>((D307-D305)*1000)/D319</f>
        <v>-0.21818879889578352</v>
      </c>
      <c r="E316" s="162"/>
      <c r="F316" s="162">
        <f>((F307-F305)*1000)/F319</f>
        <v>0.26348936197402995</v>
      </c>
      <c r="G316" s="162"/>
      <c r="H316" s="171">
        <f>((H307-H305)*1000)/H319</f>
        <v>-0.2916894711986783</v>
      </c>
      <c r="I316" s="162"/>
      <c r="J316" s="162">
        <f>((J307-J305)*1000)/J319</f>
        <v>0.8055056261997707</v>
      </c>
      <c r="K316" s="162"/>
      <c r="L316" s="162">
        <f>((L307-L305)*1000)/L319</f>
        <v>0.9207236294142106</v>
      </c>
      <c r="M316" s="162"/>
      <c r="N316" s="162"/>
      <c r="O316" s="162"/>
      <c r="P316" s="172"/>
    </row>
    <row r="317" spans="1:16" s="168" customFormat="1" ht="12.75">
      <c r="A317" s="179"/>
      <c r="B317" s="179" t="s">
        <v>144</v>
      </c>
      <c r="C317" s="163"/>
      <c r="D317" s="180">
        <f>((D310-D305)*1000)/D321</f>
        <v>-0.21818879889578352</v>
      </c>
      <c r="E317" s="162"/>
      <c r="F317" s="189">
        <f>((F310-F305)*1000)/F321</f>
        <v>0.26348936197402995</v>
      </c>
      <c r="G317" s="162"/>
      <c r="H317" s="180">
        <f>((H310-H305)*1000)/H321</f>
        <v>-0.2916894711986783</v>
      </c>
      <c r="I317" s="162"/>
      <c r="J317" s="189">
        <f>((J310-J305)*1000)/J321</f>
        <v>0.8055056261997707</v>
      </c>
      <c r="K317" s="162"/>
      <c r="L317" s="189">
        <f>((L310-L305)*1000)/L321</f>
        <v>0.9207211993006813</v>
      </c>
      <c r="M317" s="162"/>
      <c r="N317" s="162"/>
      <c r="O317" s="162"/>
      <c r="P317" s="172"/>
    </row>
    <row r="318" spans="1:16" s="168" customFormat="1" ht="12.75">
      <c r="A318" s="170"/>
      <c r="B318" s="170"/>
      <c r="C318" s="163"/>
      <c r="D318" s="171"/>
      <c r="E318" s="162"/>
      <c r="F318" s="162"/>
      <c r="G318" s="162"/>
      <c r="H318" s="171"/>
      <c r="I318" s="162"/>
      <c r="J318" s="162"/>
      <c r="K318" s="162"/>
      <c r="L318" s="162"/>
      <c r="M318" s="162"/>
      <c r="N318" s="162"/>
      <c r="O318" s="162"/>
      <c r="P318" s="172"/>
    </row>
    <row r="319" spans="1:16" s="168" customFormat="1" ht="12.75">
      <c r="A319" s="181"/>
      <c r="B319" s="181" t="s">
        <v>138</v>
      </c>
      <c r="C319" s="182"/>
      <c r="D319" s="57">
        <v>197164108.41304347</v>
      </c>
      <c r="E319" s="183"/>
      <c r="F319" s="28">
        <v>197818233</v>
      </c>
      <c r="G319" s="28"/>
      <c r="H319" s="57">
        <v>197696542.70695972</v>
      </c>
      <c r="I319" s="183"/>
      <c r="J319" s="28">
        <v>186107949</v>
      </c>
      <c r="K319" s="183"/>
      <c r="L319" s="28">
        <v>189061075.91780823</v>
      </c>
      <c r="M319" s="183"/>
      <c r="N319" s="28"/>
      <c r="O319" s="28"/>
      <c r="P319" s="172"/>
    </row>
    <row r="320" spans="1:16" s="168" customFormat="1" ht="12.75">
      <c r="A320" s="181"/>
      <c r="B320" s="181" t="s">
        <v>143</v>
      </c>
      <c r="C320" s="182"/>
      <c r="D320" s="57">
        <v>0</v>
      </c>
      <c r="E320" s="183"/>
      <c r="F320" s="28">
        <v>0</v>
      </c>
      <c r="G320" s="28"/>
      <c r="H320" s="57">
        <v>0</v>
      </c>
      <c r="I320" s="183"/>
      <c r="J320" s="28">
        <v>0</v>
      </c>
      <c r="K320" s="183"/>
      <c r="L320" s="28">
        <v>499</v>
      </c>
      <c r="M320" s="183"/>
      <c r="N320" s="28"/>
      <c r="O320" s="28"/>
      <c r="P320" s="172"/>
    </row>
    <row r="321" spans="1:16" s="168" customFormat="1" ht="12.75">
      <c r="A321" s="184"/>
      <c r="B321" s="184" t="s">
        <v>139</v>
      </c>
      <c r="C321" s="4"/>
      <c r="D321" s="96">
        <f>SUM(D319:D320)</f>
        <v>197164108.41304347</v>
      </c>
      <c r="E321" s="28"/>
      <c r="F321" s="93">
        <f>SUM(F319:F320)</f>
        <v>197818233</v>
      </c>
      <c r="G321" s="28"/>
      <c r="H321" s="96">
        <f>SUM(H319:H320)</f>
        <v>197696542.70695972</v>
      </c>
      <c r="I321" s="28"/>
      <c r="J321" s="93">
        <f>SUM(J319:J320)</f>
        <v>186107949</v>
      </c>
      <c r="K321" s="28"/>
      <c r="L321" s="93">
        <f>SUM(L319:L320)</f>
        <v>189061574.91780823</v>
      </c>
      <c r="M321" s="28"/>
      <c r="N321" s="28"/>
      <c r="O321" s="28"/>
      <c r="P321" s="183"/>
    </row>
    <row r="322" spans="1:22" s="192" customFormat="1" ht="12.75">
      <c r="A322" s="2" t="s">
        <v>238</v>
      </c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191"/>
    </row>
    <row r="323" spans="1:22" s="192" customFormat="1" ht="12.75">
      <c r="A323" s="2" t="s">
        <v>239</v>
      </c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191"/>
    </row>
    <row r="324" spans="1:22" s="192" customFormat="1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191"/>
    </row>
    <row r="325" spans="1:22" s="192" customFormat="1" ht="12.75">
      <c r="A325" s="195"/>
      <c r="B325" s="195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191"/>
    </row>
    <row r="326" spans="1:22" s="192" customFormat="1" ht="15">
      <c r="A326" s="8" t="s">
        <v>182</v>
      </c>
      <c r="B326" s="2"/>
      <c r="C326" s="2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2"/>
      <c r="P326" s="2"/>
      <c r="Q326" s="2"/>
      <c r="R326" s="2"/>
      <c r="S326" s="2"/>
      <c r="T326" s="2"/>
      <c r="U326" s="2"/>
      <c r="V326" s="191"/>
    </row>
    <row r="327" spans="1:22" s="192" customFormat="1" ht="13.5" thickBot="1">
      <c r="A327" s="37" t="s">
        <v>173</v>
      </c>
      <c r="B327" s="37"/>
      <c r="C327" s="37"/>
      <c r="D327" s="76"/>
      <c r="E327" s="49"/>
      <c r="F327" s="49"/>
      <c r="G327" s="49"/>
      <c r="H327" s="49"/>
      <c r="I327" s="49"/>
      <c r="J327" s="49"/>
      <c r="K327" s="49"/>
      <c r="L327" s="49"/>
      <c r="M327" s="28"/>
      <c r="N327" s="156"/>
      <c r="O327" s="5"/>
      <c r="P327" s="2"/>
      <c r="Q327" s="2"/>
      <c r="R327" s="2"/>
      <c r="S327" s="2"/>
      <c r="T327" s="2"/>
      <c r="U327" s="2"/>
      <c r="V327" s="191"/>
    </row>
    <row r="328" spans="1:22" s="192" customFormat="1" ht="12.75">
      <c r="A328" s="32"/>
      <c r="B328" s="32"/>
      <c r="C328" s="32"/>
      <c r="D328" s="309" t="s">
        <v>8</v>
      </c>
      <c r="E328" s="309"/>
      <c r="F328" s="309"/>
      <c r="G328" s="294"/>
      <c r="H328" s="306" t="s">
        <v>249</v>
      </c>
      <c r="I328" s="306"/>
      <c r="J328" s="306"/>
      <c r="K328" s="117"/>
      <c r="L328" s="266" t="s">
        <v>36</v>
      </c>
      <c r="M328" s="267"/>
      <c r="N328" s="267"/>
      <c r="O328" s="5"/>
      <c r="P328" s="2"/>
      <c r="Q328" s="2"/>
      <c r="R328" s="2"/>
      <c r="S328" s="2"/>
      <c r="T328" s="2"/>
      <c r="U328" s="2"/>
      <c r="V328" s="191"/>
    </row>
    <row r="329" spans="1:22" s="192" customFormat="1" ht="12.75">
      <c r="A329" s="25"/>
      <c r="B329" s="25"/>
      <c r="C329" s="25"/>
      <c r="D329" s="305" t="s">
        <v>248</v>
      </c>
      <c r="E329" s="305"/>
      <c r="F329" s="305"/>
      <c r="G329" s="1"/>
      <c r="H329" s="305" t="s">
        <v>248</v>
      </c>
      <c r="I329" s="305"/>
      <c r="J329" s="305"/>
      <c r="K329" s="64"/>
      <c r="L329" s="264" t="s">
        <v>6</v>
      </c>
      <c r="M329" s="265"/>
      <c r="N329" s="265"/>
      <c r="O329" s="5"/>
      <c r="P329" s="2"/>
      <c r="Q329" s="2"/>
      <c r="R329" s="2"/>
      <c r="S329" s="2"/>
      <c r="T329" s="2"/>
      <c r="U329" s="2"/>
      <c r="V329" s="191"/>
    </row>
    <row r="330" spans="1:22" s="192" customFormat="1" ht="12.75">
      <c r="A330" s="45" t="s">
        <v>7</v>
      </c>
      <c r="B330" s="45"/>
      <c r="C330" s="25"/>
      <c r="D330" s="54">
        <v>2010</v>
      </c>
      <c r="E330" s="121"/>
      <c r="F330" s="26">
        <v>2009</v>
      </c>
      <c r="G330" s="65"/>
      <c r="H330" s="276">
        <v>2010</v>
      </c>
      <c r="I330" s="121"/>
      <c r="J330" s="285">
        <v>2009</v>
      </c>
      <c r="K330" s="65"/>
      <c r="L330" s="260">
        <v>2009</v>
      </c>
      <c r="M330" s="107"/>
      <c r="N330" s="65"/>
      <c r="O330" s="5"/>
      <c r="P330" s="2"/>
      <c r="Q330" s="2"/>
      <c r="R330" s="2"/>
      <c r="S330" s="2"/>
      <c r="T330" s="2"/>
      <c r="U330" s="2"/>
      <c r="V330" s="191"/>
    </row>
    <row r="331" spans="1:22" s="192" customFormat="1" ht="12.75">
      <c r="A331" s="61"/>
      <c r="B331" s="61"/>
      <c r="C331" s="25"/>
      <c r="D331" s="307" t="s">
        <v>5</v>
      </c>
      <c r="E331" s="307"/>
      <c r="F331" s="307"/>
      <c r="G331" s="307"/>
      <c r="H331" s="307"/>
      <c r="I331" s="307"/>
      <c r="J331" s="307"/>
      <c r="K331" s="307"/>
      <c r="L331" s="307"/>
      <c r="M331" s="204"/>
      <c r="N331" s="204"/>
      <c r="O331" s="5"/>
      <c r="P331" s="2"/>
      <c r="Q331" s="2"/>
      <c r="R331" s="2"/>
      <c r="S331" s="2"/>
      <c r="T331" s="2"/>
      <c r="U331" s="2"/>
      <c r="V331" s="191"/>
    </row>
    <row r="332" spans="1:22" s="192" customFormat="1" ht="12.75">
      <c r="A332" s="106"/>
      <c r="B332" s="106" t="s">
        <v>152</v>
      </c>
      <c r="C332" s="25"/>
      <c r="D332" s="210">
        <f>+H332-21756</f>
        <v>0</v>
      </c>
      <c r="E332" s="24"/>
      <c r="F332" s="274">
        <f>+J332-80828</f>
        <v>55334</v>
      </c>
      <c r="G332" s="23"/>
      <c r="H332" s="210">
        <v>21756</v>
      </c>
      <c r="I332" s="288"/>
      <c r="J332" s="274">
        <v>136162</v>
      </c>
      <c r="K332" s="24"/>
      <c r="L332" s="274">
        <v>194624</v>
      </c>
      <c r="M332" s="23"/>
      <c r="N332" s="23"/>
      <c r="O332" s="5"/>
      <c r="P332" s="2"/>
      <c r="Q332" s="2"/>
      <c r="R332" s="2"/>
      <c r="S332" s="2"/>
      <c r="T332" s="2"/>
      <c r="U332" s="2"/>
      <c r="V332" s="191"/>
    </row>
    <row r="333" spans="1:22" s="192" customFormat="1" ht="12.75">
      <c r="A333" s="25"/>
      <c r="B333" s="25" t="s">
        <v>156</v>
      </c>
      <c r="C333" s="25"/>
      <c r="D333" s="56">
        <f>+H333-(22551+708)</f>
        <v>0</v>
      </c>
      <c r="E333" s="24"/>
      <c r="F333" s="22">
        <f>+J333-(78198)</f>
        <v>44055</v>
      </c>
      <c r="G333" s="22"/>
      <c r="H333" s="56">
        <v>23259</v>
      </c>
      <c r="I333" s="288"/>
      <c r="J333" s="22">
        <f>116703+4+5546</f>
        <v>122253</v>
      </c>
      <c r="K333" s="24"/>
      <c r="L333" s="22">
        <f>168641+4+7352</f>
        <v>175997</v>
      </c>
      <c r="M333" s="23"/>
      <c r="N333" s="28"/>
      <c r="O333" s="5"/>
      <c r="P333" s="2"/>
      <c r="Q333" s="2"/>
      <c r="R333" s="2"/>
      <c r="S333" s="2"/>
      <c r="T333" s="2"/>
      <c r="U333" s="2"/>
      <c r="V333" s="191"/>
    </row>
    <row r="334" spans="1:22" s="192" customFormat="1" ht="12.75">
      <c r="A334" s="25"/>
      <c r="B334" s="25" t="s">
        <v>153</v>
      </c>
      <c r="C334" s="25"/>
      <c r="D334" s="56">
        <f>+H334-0</f>
        <v>0</v>
      </c>
      <c r="E334" s="24"/>
      <c r="F334" s="22">
        <f>+J334-11997</f>
        <v>7085</v>
      </c>
      <c r="G334" s="22"/>
      <c r="H334" s="56">
        <v>0</v>
      </c>
      <c r="I334" s="288"/>
      <c r="J334" s="22">
        <v>19082</v>
      </c>
      <c r="K334" s="24"/>
      <c r="L334" s="22">
        <v>22702</v>
      </c>
      <c r="M334" s="23"/>
      <c r="N334" s="28"/>
      <c r="O334" s="5"/>
      <c r="P334" s="2"/>
      <c r="Q334" s="2"/>
      <c r="R334" s="2"/>
      <c r="S334" s="2"/>
      <c r="T334" s="2"/>
      <c r="U334" s="2"/>
      <c r="V334" s="191"/>
    </row>
    <row r="335" spans="1:22" s="192" customFormat="1" ht="12.75">
      <c r="A335" s="212"/>
      <c r="B335" s="212" t="s">
        <v>155</v>
      </c>
      <c r="C335" s="25"/>
      <c r="D335" s="96">
        <f>SUM(D333:D334)</f>
        <v>0</v>
      </c>
      <c r="E335" s="28"/>
      <c r="F335" s="93">
        <f>SUM(F333:F334)</f>
        <v>51140</v>
      </c>
      <c r="G335" s="28"/>
      <c r="H335" s="96">
        <f>SUM(H333:H334)</f>
        <v>23259</v>
      </c>
      <c r="I335" s="281"/>
      <c r="J335" s="93">
        <f>SUM(J333:J334)</f>
        <v>141335</v>
      </c>
      <c r="K335" s="28"/>
      <c r="L335" s="93">
        <f>SUM(L333:L334)</f>
        <v>198699</v>
      </c>
      <c r="M335" s="28"/>
      <c r="N335" s="28"/>
      <c r="O335" s="5"/>
      <c r="P335" s="2"/>
      <c r="Q335" s="2"/>
      <c r="R335" s="2"/>
      <c r="S335" s="2"/>
      <c r="T335" s="2"/>
      <c r="U335" s="2"/>
      <c r="V335" s="191"/>
    </row>
    <row r="336" spans="1:22" s="192" customFormat="1" ht="12.75">
      <c r="A336" s="32"/>
      <c r="B336" s="32" t="s">
        <v>154</v>
      </c>
      <c r="C336" s="25"/>
      <c r="D336" s="56">
        <f>+D332-D335</f>
        <v>0</v>
      </c>
      <c r="E336" s="22"/>
      <c r="F336" s="22">
        <f>+F332-F335</f>
        <v>4194</v>
      </c>
      <c r="G336" s="22"/>
      <c r="H336" s="56">
        <f>+H332-H335</f>
        <v>-1503</v>
      </c>
      <c r="I336" s="289"/>
      <c r="J336" s="22">
        <f>+J332-J335</f>
        <v>-5173</v>
      </c>
      <c r="K336" s="28"/>
      <c r="L336" s="22">
        <f>+L332-L335</f>
        <v>-4075</v>
      </c>
      <c r="M336" s="28"/>
      <c r="N336" s="28"/>
      <c r="O336" s="5"/>
      <c r="P336" s="2"/>
      <c r="Q336" s="2"/>
      <c r="R336" s="2"/>
      <c r="S336" s="2"/>
      <c r="T336" s="2"/>
      <c r="U336" s="2"/>
      <c r="V336" s="191"/>
    </row>
    <row r="337" spans="1:22" s="192" customFormat="1" ht="12.75">
      <c r="A337" s="32"/>
      <c r="B337" s="32" t="s">
        <v>159</v>
      </c>
      <c r="C337" s="25"/>
      <c r="D337" s="56">
        <f>+H337-286</f>
        <v>0</v>
      </c>
      <c r="E337" s="22"/>
      <c r="F337" s="22">
        <f>+J337-1979</f>
        <v>-71</v>
      </c>
      <c r="G337" s="22"/>
      <c r="H337" s="56">
        <v>286</v>
      </c>
      <c r="I337" s="289"/>
      <c r="J337" s="22">
        <v>1908</v>
      </c>
      <c r="K337" s="28"/>
      <c r="L337" s="22">
        <v>2352</v>
      </c>
      <c r="M337" s="28"/>
      <c r="N337" s="28"/>
      <c r="O337" s="5"/>
      <c r="P337" s="2"/>
      <c r="Q337" s="2"/>
      <c r="R337" s="2"/>
      <c r="S337" s="2"/>
      <c r="T337" s="2"/>
      <c r="U337" s="2"/>
      <c r="V337" s="191"/>
    </row>
    <row r="338" spans="1:22" s="192" customFormat="1" ht="12.75">
      <c r="A338" s="212"/>
      <c r="B338" s="212" t="s">
        <v>244</v>
      </c>
      <c r="C338" s="25"/>
      <c r="D338" s="58">
        <f>SUM(D336:D337)</f>
        <v>0</v>
      </c>
      <c r="E338" s="33"/>
      <c r="F338" s="29">
        <f>SUM(F336:F337)</f>
        <v>4123</v>
      </c>
      <c r="G338" s="30"/>
      <c r="H338" s="58">
        <f>SUM(H336:H337)</f>
        <v>-1217</v>
      </c>
      <c r="I338" s="293"/>
      <c r="J338" s="29">
        <f>SUM(J336:J337)</f>
        <v>-3265</v>
      </c>
      <c r="K338" s="33"/>
      <c r="L338" s="29">
        <f>SUM(L336:L337)</f>
        <v>-1723</v>
      </c>
      <c r="M338" s="23"/>
      <c r="N338" s="30"/>
      <c r="O338" s="5"/>
      <c r="P338" s="2"/>
      <c r="Q338" s="2"/>
      <c r="R338" s="2"/>
      <c r="S338" s="2"/>
      <c r="T338" s="2"/>
      <c r="U338" s="2"/>
      <c r="V338" s="191"/>
    </row>
    <row r="339" spans="1:22" s="192" customFormat="1" ht="12.75">
      <c r="A339" s="32" t="s">
        <v>157</v>
      </c>
      <c r="B339" s="32"/>
      <c r="C339" s="25"/>
      <c r="D339" s="16"/>
      <c r="E339" s="16"/>
      <c r="F339" s="16"/>
      <c r="G339" s="16"/>
      <c r="H339" s="16"/>
      <c r="I339" s="16"/>
      <c r="J339" s="16"/>
      <c r="K339" s="16"/>
      <c r="L339" s="16"/>
      <c r="M339" s="18"/>
      <c r="N339" s="18"/>
      <c r="O339" s="5"/>
      <c r="P339" s="2"/>
      <c r="Q339" s="2"/>
      <c r="R339" s="2"/>
      <c r="S339" s="2"/>
      <c r="T339" s="2"/>
      <c r="U339" s="2"/>
      <c r="V339" s="191"/>
    </row>
    <row r="340" spans="1:22" s="192" customFormat="1" ht="12.75">
      <c r="A340" s="32"/>
      <c r="B340" s="32"/>
      <c r="C340" s="25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2"/>
      <c r="P340" s="2"/>
      <c r="Q340" s="2"/>
      <c r="R340" s="2"/>
      <c r="S340" s="2"/>
      <c r="T340" s="2"/>
      <c r="U340" s="2"/>
      <c r="V340" s="191"/>
    </row>
    <row r="341" spans="1:22" s="192" customFormat="1" ht="13.5" thickBot="1">
      <c r="A341" s="6" t="s">
        <v>150</v>
      </c>
      <c r="B341" s="6"/>
      <c r="C341" s="6"/>
      <c r="D341" s="76"/>
      <c r="E341" s="49"/>
      <c r="F341" s="49"/>
      <c r="G341" s="49"/>
      <c r="H341" s="49"/>
      <c r="I341" s="49"/>
      <c r="J341" s="49"/>
      <c r="K341" s="49"/>
      <c r="L341" s="16"/>
      <c r="M341" s="28"/>
      <c r="N341" s="28"/>
      <c r="O341" s="2"/>
      <c r="P341" s="2"/>
      <c r="Q341" s="2"/>
      <c r="R341" s="2"/>
      <c r="S341" s="2"/>
      <c r="T341" s="2"/>
      <c r="U341" s="2"/>
      <c r="V341" s="191"/>
    </row>
    <row r="342" spans="1:22" s="192" customFormat="1" ht="12.75">
      <c r="A342" s="5"/>
      <c r="B342" s="5"/>
      <c r="C342" s="5"/>
      <c r="D342" s="309" t="s">
        <v>8</v>
      </c>
      <c r="E342" s="309"/>
      <c r="F342" s="309"/>
      <c r="G342" s="294"/>
      <c r="H342" s="306" t="s">
        <v>249</v>
      </c>
      <c r="I342" s="306"/>
      <c r="J342" s="306"/>
      <c r="K342" s="117"/>
      <c r="L342" s="258" t="s">
        <v>36</v>
      </c>
      <c r="M342" s="267"/>
      <c r="N342" s="267"/>
      <c r="O342" s="2"/>
      <c r="P342" s="2"/>
      <c r="Q342" s="2"/>
      <c r="R342" s="2"/>
      <c r="S342" s="2"/>
      <c r="T342" s="2"/>
      <c r="U342" s="2"/>
      <c r="V342" s="191"/>
    </row>
    <row r="343" spans="1:22" s="192" customFormat="1" ht="12.75">
      <c r="A343" s="2"/>
      <c r="B343" s="2"/>
      <c r="C343" s="2"/>
      <c r="D343" s="305" t="s">
        <v>248</v>
      </c>
      <c r="E343" s="305"/>
      <c r="F343" s="305"/>
      <c r="G343" s="1"/>
      <c r="H343" s="305" t="s">
        <v>248</v>
      </c>
      <c r="I343" s="305"/>
      <c r="J343" s="305"/>
      <c r="K343" s="64"/>
      <c r="L343" s="257" t="s">
        <v>6</v>
      </c>
      <c r="M343" s="265"/>
      <c r="N343" s="265"/>
      <c r="O343" s="2"/>
      <c r="P343" s="2"/>
      <c r="Q343" s="2"/>
      <c r="R343" s="2"/>
      <c r="S343" s="2"/>
      <c r="T343" s="2"/>
      <c r="U343" s="2"/>
      <c r="V343" s="191"/>
    </row>
    <row r="344" spans="1:22" s="192" customFormat="1" ht="12.75">
      <c r="A344" s="13" t="s">
        <v>7</v>
      </c>
      <c r="B344" s="12"/>
      <c r="C344" s="2"/>
      <c r="D344" s="54">
        <v>2010</v>
      </c>
      <c r="E344" s="121"/>
      <c r="F344" s="26">
        <v>2009</v>
      </c>
      <c r="G344" s="65"/>
      <c r="H344" s="276">
        <v>2010</v>
      </c>
      <c r="I344" s="121"/>
      <c r="J344" s="285">
        <v>2009</v>
      </c>
      <c r="K344" s="65"/>
      <c r="L344" s="260">
        <v>2009</v>
      </c>
      <c r="M344" s="107"/>
      <c r="N344" s="65"/>
      <c r="O344" s="2"/>
      <c r="P344" s="2"/>
      <c r="Q344" s="2"/>
      <c r="R344" s="2"/>
      <c r="S344" s="2"/>
      <c r="T344" s="2"/>
      <c r="U344" s="2"/>
      <c r="V344" s="191"/>
    </row>
    <row r="345" spans="1:22" s="192" customFormat="1" ht="12.75">
      <c r="A345" s="62"/>
      <c r="B345" s="5"/>
      <c r="C345" s="2"/>
      <c r="D345" s="308" t="s">
        <v>5</v>
      </c>
      <c r="E345" s="308"/>
      <c r="F345" s="308"/>
      <c r="G345" s="308"/>
      <c r="H345" s="308"/>
      <c r="I345" s="308"/>
      <c r="J345" s="308"/>
      <c r="K345" s="308"/>
      <c r="L345" s="308"/>
      <c r="M345" s="208"/>
      <c r="N345" s="208"/>
      <c r="O345" s="2"/>
      <c r="P345" s="2"/>
      <c r="Q345" s="2"/>
      <c r="R345" s="2"/>
      <c r="S345" s="2"/>
      <c r="T345" s="2"/>
      <c r="U345" s="2"/>
      <c r="V345" s="191"/>
    </row>
    <row r="346" spans="1:22" s="192" customFormat="1" ht="12.75">
      <c r="A346" s="62"/>
      <c r="B346" s="5" t="s">
        <v>245</v>
      </c>
      <c r="C346" s="2"/>
      <c r="D346" s="55">
        <f>+D338</f>
        <v>0</v>
      </c>
      <c r="E346" s="14"/>
      <c r="F346" s="24">
        <f>+F338</f>
        <v>4123</v>
      </c>
      <c r="G346" s="24"/>
      <c r="H346" s="218">
        <f>+H338</f>
        <v>-1217</v>
      </c>
      <c r="I346" s="256"/>
      <c r="J346" s="24">
        <f>+J338</f>
        <v>-3265</v>
      </c>
      <c r="K346" s="24"/>
      <c r="L346" s="24">
        <f>+L338</f>
        <v>-1723</v>
      </c>
      <c r="M346" s="17"/>
      <c r="N346" s="23"/>
      <c r="O346" s="2"/>
      <c r="P346" s="2"/>
      <c r="Q346" s="2"/>
      <c r="R346" s="2"/>
      <c r="S346" s="2"/>
      <c r="T346" s="2"/>
      <c r="U346" s="2"/>
      <c r="V346" s="191"/>
    </row>
    <row r="347" spans="1:22" ht="12.75">
      <c r="A347" s="2"/>
      <c r="B347" s="2" t="s">
        <v>229</v>
      </c>
      <c r="D347" s="56">
        <f>+H347-1000</f>
        <v>0</v>
      </c>
      <c r="E347" s="24"/>
      <c r="F347" s="22">
        <f>+J347-1000</f>
        <v>0</v>
      </c>
      <c r="G347" s="22"/>
      <c r="H347" s="56">
        <v>1000</v>
      </c>
      <c r="I347" s="288"/>
      <c r="J347" s="22">
        <v>1000</v>
      </c>
      <c r="K347" s="24"/>
      <c r="L347" s="22">
        <v>1956</v>
      </c>
      <c r="M347" s="23"/>
      <c r="N347" s="28"/>
      <c r="V347" s="73"/>
    </row>
    <row r="348" spans="1:22" ht="12.75">
      <c r="A348" s="2"/>
      <c r="B348" s="2" t="s">
        <v>224</v>
      </c>
      <c r="C348" s="282"/>
      <c r="D348" s="56">
        <f>+H348-14732</f>
        <v>1122</v>
      </c>
      <c r="E348" s="24"/>
      <c r="F348" s="22">
        <f>+J348-0</f>
        <v>0</v>
      </c>
      <c r="G348" s="22"/>
      <c r="H348" s="56">
        <v>15854</v>
      </c>
      <c r="I348" s="24"/>
      <c r="J348" s="22">
        <v>0</v>
      </c>
      <c r="K348" s="24"/>
      <c r="L348" s="22">
        <v>0</v>
      </c>
      <c r="M348" s="23"/>
      <c r="N348" s="28"/>
      <c r="V348" s="73"/>
    </row>
    <row r="349" spans="1:22" ht="12.75">
      <c r="A349" s="2"/>
      <c r="B349" s="2" t="s">
        <v>183</v>
      </c>
      <c r="C349" s="282"/>
      <c r="D349" s="56">
        <f>+H349--5923</f>
        <v>-135</v>
      </c>
      <c r="E349" s="24"/>
      <c r="F349" s="22">
        <f>+J349-0</f>
        <v>-418</v>
      </c>
      <c r="G349" s="22"/>
      <c r="H349" s="56">
        <v>-6058</v>
      </c>
      <c r="I349" s="24"/>
      <c r="J349" s="22">
        <v>-418</v>
      </c>
      <c r="K349" s="24"/>
      <c r="L349" s="22">
        <v>-2368</v>
      </c>
      <c r="M349" s="23"/>
      <c r="N349" s="28"/>
      <c r="V349" s="73"/>
    </row>
    <row r="350" spans="1:22" ht="12.75">
      <c r="A350" s="2"/>
      <c r="B350" s="2" t="s">
        <v>151</v>
      </c>
      <c r="D350" s="56">
        <f>+H350-(-57)</f>
        <v>835</v>
      </c>
      <c r="E350" s="24"/>
      <c r="F350" s="22">
        <f>+J350-3806</f>
        <v>-8080</v>
      </c>
      <c r="G350" s="22"/>
      <c r="H350" s="56">
        <v>778</v>
      </c>
      <c r="I350" s="288"/>
      <c r="J350" s="22">
        <v>-4274</v>
      </c>
      <c r="K350" s="24"/>
      <c r="L350" s="22">
        <v>-6113</v>
      </c>
      <c r="M350" s="23"/>
      <c r="N350" s="28"/>
      <c r="V350" s="73"/>
    </row>
    <row r="351" spans="1:22" ht="12.75">
      <c r="A351" s="4"/>
      <c r="B351" s="4" t="s">
        <v>0</v>
      </c>
      <c r="C351" s="2"/>
      <c r="D351" s="58">
        <f>SUM(D346:D350)</f>
        <v>1822</v>
      </c>
      <c r="E351" s="16"/>
      <c r="F351" s="29">
        <f>SUM(F346:F350)</f>
        <v>-4375</v>
      </c>
      <c r="G351" s="30"/>
      <c r="H351" s="58">
        <f>SUM(H346:H350)</f>
        <v>10357</v>
      </c>
      <c r="I351" s="16"/>
      <c r="J351" s="29">
        <f>SUM(J346:J350)</f>
        <v>-6957</v>
      </c>
      <c r="K351" s="30"/>
      <c r="L351" s="29">
        <f>SUM(L346:L350)</f>
        <v>-8248</v>
      </c>
      <c r="M351" s="18"/>
      <c r="N351" s="30"/>
      <c r="V351" s="73"/>
    </row>
    <row r="352" ht="12.75"/>
    <row r="353" spans="1:22" ht="13.5" thickBot="1">
      <c r="A353" s="6" t="s">
        <v>184</v>
      </c>
      <c r="B353" s="6"/>
      <c r="C353" s="6"/>
      <c r="D353" s="20"/>
      <c r="E353" s="20"/>
      <c r="F353" s="20"/>
      <c r="G353" s="20"/>
      <c r="H353" s="20"/>
      <c r="I353" s="18"/>
      <c r="J353" s="18"/>
      <c r="K353" s="18"/>
      <c r="L353" s="18"/>
      <c r="M353" s="5"/>
      <c r="N353" s="5"/>
      <c r="V353" s="73"/>
    </row>
    <row r="354" spans="4:8" ht="12.75">
      <c r="D354" s="305" t="s">
        <v>248</v>
      </c>
      <c r="E354" s="305"/>
      <c r="F354" s="305"/>
      <c r="G354" s="1"/>
      <c r="H354" s="275" t="s">
        <v>6</v>
      </c>
    </row>
    <row r="355" spans="1:8" ht="12.75">
      <c r="A355" s="13" t="s">
        <v>7</v>
      </c>
      <c r="B355" s="13"/>
      <c r="D355" s="276">
        <v>2010</v>
      </c>
      <c r="E355" s="65"/>
      <c r="F355" s="277">
        <v>2009</v>
      </c>
      <c r="G355" s="78"/>
      <c r="H355" s="260">
        <v>2009</v>
      </c>
    </row>
    <row r="356" spans="1:8" ht="12.75" customHeight="1">
      <c r="A356" s="2" t="s">
        <v>186</v>
      </c>
      <c r="B356" s="62"/>
      <c r="D356" s="303" t="s">
        <v>5</v>
      </c>
      <c r="E356" s="303"/>
      <c r="F356" s="303"/>
      <c r="G356" s="303"/>
      <c r="H356" s="303"/>
    </row>
    <row r="357" spans="1:8" ht="12.75">
      <c r="A357" s="2"/>
      <c r="B357" s="2" t="s">
        <v>167</v>
      </c>
      <c r="C357" s="2"/>
      <c r="D357" s="218">
        <v>3000</v>
      </c>
      <c r="E357" s="281"/>
      <c r="F357" s="24">
        <v>5250</v>
      </c>
      <c r="G357" s="24"/>
      <c r="H357" s="24">
        <v>3000</v>
      </c>
    </row>
    <row r="358" spans="1:8" ht="12.75">
      <c r="A358" s="2"/>
      <c r="B358" s="2" t="s">
        <v>168</v>
      </c>
      <c r="C358" s="2"/>
      <c r="D358" s="56">
        <v>0</v>
      </c>
      <c r="E358" s="281"/>
      <c r="F358" s="22">
        <v>0</v>
      </c>
      <c r="G358" s="22"/>
      <c r="H358" s="22">
        <v>74024</v>
      </c>
    </row>
    <row r="359" spans="1:8" ht="12.75">
      <c r="A359" s="2"/>
      <c r="B359" s="2" t="s">
        <v>171</v>
      </c>
      <c r="C359" s="2"/>
      <c r="D359" s="56">
        <v>0</v>
      </c>
      <c r="E359" s="281"/>
      <c r="F359" s="22">
        <v>0</v>
      </c>
      <c r="G359" s="22"/>
      <c r="H359" s="22">
        <v>150268</v>
      </c>
    </row>
    <row r="360" spans="1:8" ht="12.75">
      <c r="A360" s="4"/>
      <c r="B360" s="4" t="s">
        <v>170</v>
      </c>
      <c r="D360" s="58">
        <f>SUM(D357:D359)</f>
        <v>3000</v>
      </c>
      <c r="E360" s="28"/>
      <c r="F360" s="29">
        <f>SUM(F357:F359)</f>
        <v>5250</v>
      </c>
      <c r="G360" s="30"/>
      <c r="H360" s="29">
        <f>SUM(H357:H359)</f>
        <v>227292</v>
      </c>
    </row>
    <row r="361" spans="1:8" ht="12.75">
      <c r="A361" s="2" t="s">
        <v>185</v>
      </c>
      <c r="D361" s="25"/>
      <c r="E361" s="32"/>
      <c r="F361" s="25"/>
      <c r="G361" s="25"/>
      <c r="H361" s="25"/>
    </row>
    <row r="362" spans="1:8" ht="12.75">
      <c r="A362" s="2"/>
      <c r="B362" s="2" t="s">
        <v>166</v>
      </c>
      <c r="C362" s="2"/>
      <c r="D362" s="218">
        <v>0</v>
      </c>
      <c r="E362" s="28"/>
      <c r="F362" s="24">
        <v>0</v>
      </c>
      <c r="G362" s="24"/>
      <c r="H362" s="24">
        <v>26008</v>
      </c>
    </row>
    <row r="363" spans="1:8" ht="12.75">
      <c r="A363" s="4"/>
      <c r="B363" s="4" t="s">
        <v>169</v>
      </c>
      <c r="D363" s="58">
        <f>SUM(D361:D362)</f>
        <v>0</v>
      </c>
      <c r="E363" s="28"/>
      <c r="F363" s="29">
        <f>SUM(F361:F362)</f>
        <v>0</v>
      </c>
      <c r="G363" s="30"/>
      <c r="H363" s="29">
        <f>SUM(H361:H362)</f>
        <v>26008</v>
      </c>
    </row>
    <row r="364" ht="12.75">
      <c r="A364" s="2" t="s">
        <v>223</v>
      </c>
    </row>
    <row r="366" spans="1:16" ht="12.75">
      <c r="A366" s="252"/>
      <c r="P366" s="252"/>
    </row>
    <row r="367" ht="15">
      <c r="A367" s="8" t="s">
        <v>187</v>
      </c>
    </row>
    <row r="368" spans="1:18" ht="13.5" thickBot="1">
      <c r="A368" s="6" t="s">
        <v>211</v>
      </c>
      <c r="B368" s="225"/>
      <c r="C368" s="225"/>
      <c r="D368" s="226"/>
      <c r="E368" s="249"/>
      <c r="F368" s="226"/>
      <c r="G368" s="226"/>
      <c r="H368" s="226"/>
      <c r="I368" s="226"/>
      <c r="J368" s="226"/>
      <c r="K368" s="226"/>
      <c r="L368" s="226"/>
      <c r="M368" s="226"/>
      <c r="Q368" s="25"/>
      <c r="R368" s="25"/>
    </row>
    <row r="369" spans="1:12" ht="12.75">
      <c r="A369" s="45"/>
      <c r="B369" s="13"/>
      <c r="D369" s="223" t="s">
        <v>207</v>
      </c>
      <c r="F369" s="223" t="s">
        <v>208</v>
      </c>
      <c r="G369" s="1"/>
      <c r="H369" s="223" t="s">
        <v>209</v>
      </c>
      <c r="I369"/>
      <c r="J369" s="260" t="s">
        <v>210</v>
      </c>
      <c r="K369" s="114"/>
      <c r="L369" s="260">
        <v>2009</v>
      </c>
    </row>
    <row r="370" spans="1:12" ht="12.75">
      <c r="A370" s="227"/>
      <c r="B370" s="227"/>
      <c r="C370" s="227"/>
      <c r="D370" s="304" t="s">
        <v>5</v>
      </c>
      <c r="E370" s="304"/>
      <c r="F370" s="304"/>
      <c r="G370" s="304"/>
      <c r="H370" s="304"/>
      <c r="I370" s="304"/>
      <c r="J370" s="304"/>
      <c r="K370" s="304"/>
      <c r="L370" s="304"/>
    </row>
    <row r="371" spans="1:12" ht="12.75">
      <c r="A371" s="228" t="s">
        <v>188</v>
      </c>
      <c r="B371" s="228"/>
      <c r="C371" s="229"/>
      <c r="D371" s="231">
        <v>390822</v>
      </c>
      <c r="E371" s="232"/>
      <c r="F371" s="231">
        <v>294270</v>
      </c>
      <c r="G371" s="232"/>
      <c r="H371" s="231">
        <v>361453</v>
      </c>
      <c r="I371" s="230"/>
      <c r="J371" s="231">
        <v>303657</v>
      </c>
      <c r="K371" s="232"/>
      <c r="L371" s="231">
        <f>SUM(D371:J371)</f>
        <v>1350202</v>
      </c>
    </row>
    <row r="372" spans="1:14" ht="12.75">
      <c r="A372" s="233"/>
      <c r="B372" s="233" t="s">
        <v>7</v>
      </c>
      <c r="C372" s="229"/>
      <c r="D372" s="236"/>
      <c r="E372" s="250"/>
      <c r="F372" s="236"/>
      <c r="G372" s="236"/>
      <c r="H372" s="236"/>
      <c r="I372" s="234"/>
      <c r="J372" s="236" t="s">
        <v>189</v>
      </c>
      <c r="K372" s="235"/>
      <c r="L372" s="236"/>
      <c r="N372" s="250"/>
    </row>
    <row r="373" spans="1:14" ht="12.75">
      <c r="A373" s="233" t="s">
        <v>190</v>
      </c>
      <c r="B373" s="233"/>
      <c r="C373" s="229"/>
      <c r="D373" s="239">
        <v>164908</v>
      </c>
      <c r="E373" s="241"/>
      <c r="F373" s="239">
        <v>121461</v>
      </c>
      <c r="G373" s="239"/>
      <c r="H373" s="239">
        <v>175882</v>
      </c>
      <c r="I373" s="237"/>
      <c r="J373" s="239">
        <f>143529+200</f>
        <v>143729</v>
      </c>
      <c r="K373" s="238"/>
      <c r="L373" s="239">
        <f>SUM(D373:J373)</f>
        <v>605980</v>
      </c>
      <c r="N373" s="241"/>
    </row>
    <row r="374" spans="1:14" ht="12.75">
      <c r="A374" s="233" t="s">
        <v>191</v>
      </c>
      <c r="B374" s="233"/>
      <c r="C374" s="229"/>
      <c r="D374" s="239">
        <v>6040</v>
      </c>
      <c r="E374" s="251"/>
      <c r="F374" s="239">
        <v>6949</v>
      </c>
      <c r="G374" s="239"/>
      <c r="H374" s="239">
        <v>4643</v>
      </c>
      <c r="I374" s="240"/>
      <c r="J374" s="239">
        <v>5174</v>
      </c>
      <c r="K374" s="238"/>
      <c r="L374" s="239">
        <f>SUM(D374:J374)</f>
        <v>22806</v>
      </c>
      <c r="N374" s="241"/>
    </row>
    <row r="375" spans="1:14" ht="12.75">
      <c r="A375" s="229" t="s">
        <v>192</v>
      </c>
      <c r="B375" s="229"/>
      <c r="C375" s="229"/>
      <c r="D375" s="241">
        <v>13537</v>
      </c>
      <c r="E375" s="241"/>
      <c r="F375" s="241">
        <v>11713</v>
      </c>
      <c r="G375" s="241"/>
      <c r="H375" s="241">
        <v>10777</v>
      </c>
      <c r="I375" s="237"/>
      <c r="J375" s="241">
        <v>13243</v>
      </c>
      <c r="K375" s="237"/>
      <c r="L375" s="241">
        <f>SUM(D375:J375)</f>
        <v>49270</v>
      </c>
      <c r="N375" s="241"/>
    </row>
    <row r="376" spans="1:14" ht="12.75">
      <c r="A376" s="233" t="s">
        <v>193</v>
      </c>
      <c r="B376" s="233"/>
      <c r="C376" s="229"/>
      <c r="D376" s="239">
        <v>51150</v>
      </c>
      <c r="E376" s="251"/>
      <c r="F376" s="239">
        <v>72992</v>
      </c>
      <c r="G376" s="239"/>
      <c r="H376" s="239">
        <v>65067</v>
      </c>
      <c r="I376" s="240"/>
      <c r="J376" s="239">
        <v>96060</v>
      </c>
      <c r="K376" s="238"/>
      <c r="L376" s="239">
        <f>SUM(D376:J376)</f>
        <v>285269</v>
      </c>
      <c r="N376" s="241"/>
    </row>
    <row r="377" spans="1:14" ht="12.75">
      <c r="A377" s="233" t="s">
        <v>194</v>
      </c>
      <c r="B377" s="233"/>
      <c r="C377" s="229"/>
      <c r="D377" s="239">
        <v>50585</v>
      </c>
      <c r="E377" s="251"/>
      <c r="F377" s="239">
        <f>48138+83</f>
        <v>48221</v>
      </c>
      <c r="G377" s="239"/>
      <c r="H377" s="239">
        <v>52406</v>
      </c>
      <c r="I377" s="240"/>
      <c r="J377" s="239">
        <v>2403</v>
      </c>
      <c r="K377" s="238"/>
      <c r="L377" s="239">
        <f>SUM(D377:J377)</f>
        <v>153615</v>
      </c>
      <c r="N377" s="241"/>
    </row>
    <row r="378" spans="1:14" ht="12.75">
      <c r="A378" s="243"/>
      <c r="B378" s="243" t="s">
        <v>155</v>
      </c>
      <c r="C378" s="229"/>
      <c r="D378" s="244">
        <f>SUM(D373:D377)</f>
        <v>286220</v>
      </c>
      <c r="E378" s="241"/>
      <c r="F378" s="244">
        <f>SUM(F373:F377)</f>
        <v>261336</v>
      </c>
      <c r="G378" s="241"/>
      <c r="H378" s="244">
        <f>SUM(H373:H377)</f>
        <v>308775</v>
      </c>
      <c r="I378" s="237"/>
      <c r="J378" s="244">
        <f>SUM(J372:J377)</f>
        <v>260609</v>
      </c>
      <c r="K378" s="237"/>
      <c r="L378" s="244">
        <f>SUM(L372:L377)</f>
        <v>1116940</v>
      </c>
      <c r="N378" s="241"/>
    </row>
    <row r="379" spans="2:14" ht="12.75">
      <c r="B379" s="229" t="s">
        <v>195</v>
      </c>
      <c r="C379" s="229"/>
      <c r="D379" s="241">
        <f>+D371-D378</f>
        <v>104602</v>
      </c>
      <c r="E379" s="241"/>
      <c r="F379" s="241">
        <f>+F371-F378</f>
        <v>32934</v>
      </c>
      <c r="G379" s="241"/>
      <c r="H379" s="241">
        <f>+H371-H378</f>
        <v>52678</v>
      </c>
      <c r="I379" s="237">
        <f>+I371-I378</f>
        <v>0</v>
      </c>
      <c r="J379" s="241">
        <f>+J371-J378</f>
        <v>43048</v>
      </c>
      <c r="K379" s="241"/>
      <c r="L379" s="241">
        <f>+L371-L378</f>
        <v>233262</v>
      </c>
      <c r="N379" s="241"/>
    </row>
    <row r="380" spans="1:14" ht="12.75">
      <c r="A380" s="229" t="s">
        <v>196</v>
      </c>
      <c r="B380" s="229"/>
      <c r="C380" s="229"/>
      <c r="D380" s="241">
        <v>-376</v>
      </c>
      <c r="E380" s="241"/>
      <c r="F380" s="241">
        <v>-33</v>
      </c>
      <c r="G380" s="241"/>
      <c r="H380" s="241">
        <v>1626</v>
      </c>
      <c r="I380" s="237"/>
      <c r="J380" s="241">
        <v>684</v>
      </c>
      <c r="K380" s="241"/>
      <c r="L380" s="241">
        <f>SUM(D380:J380)</f>
        <v>1901</v>
      </c>
      <c r="N380" s="241"/>
    </row>
    <row r="381" spans="1:14" ht="12.75">
      <c r="A381" s="233" t="s">
        <v>197</v>
      </c>
      <c r="B381" s="233"/>
      <c r="C381" s="229"/>
      <c r="D381" s="241">
        <v>-11019</v>
      </c>
      <c r="E381" s="241"/>
      <c r="F381" s="241">
        <v>-9748</v>
      </c>
      <c r="G381" s="241"/>
      <c r="H381" s="241">
        <v>-10866</v>
      </c>
      <c r="I381" s="237"/>
      <c r="J381" s="241">
        <f>-14515+916</f>
        <v>-13599</v>
      </c>
      <c r="K381" s="241"/>
      <c r="L381" s="241">
        <f>SUM(D381:J381)</f>
        <v>-45232</v>
      </c>
      <c r="N381" s="241"/>
    </row>
    <row r="382" spans="1:14" ht="12.75">
      <c r="A382" s="229" t="s">
        <v>198</v>
      </c>
      <c r="B382" s="233"/>
      <c r="C382" s="229"/>
      <c r="D382" s="241">
        <v>1058</v>
      </c>
      <c r="E382" s="241"/>
      <c r="F382" s="241">
        <v>6320</v>
      </c>
      <c r="G382" s="241"/>
      <c r="H382" s="241">
        <v>14897</v>
      </c>
      <c r="I382" s="237"/>
      <c r="J382" s="241">
        <v>2214</v>
      </c>
      <c r="K382" s="241"/>
      <c r="L382" s="241">
        <f>SUM(D382:J382)</f>
        <v>24489</v>
      </c>
      <c r="N382" s="241"/>
    </row>
    <row r="383" spans="1:14" ht="12.75">
      <c r="A383" s="229" t="s">
        <v>199</v>
      </c>
      <c r="B383" s="233"/>
      <c r="C383" s="229"/>
      <c r="D383" s="241">
        <v>-1895</v>
      </c>
      <c r="E383" s="241"/>
      <c r="F383" s="241">
        <v>-1860</v>
      </c>
      <c r="G383" s="241"/>
      <c r="H383" s="241">
        <v>-3363</v>
      </c>
      <c r="I383" s="237"/>
      <c r="J383" s="241">
        <v>-3999</v>
      </c>
      <c r="K383" s="241"/>
      <c r="L383" s="241">
        <f>SUM(D383:J383)</f>
        <v>-11117</v>
      </c>
      <c r="N383" s="241"/>
    </row>
    <row r="384" spans="1:14" ht="12.75">
      <c r="A384" s="228" t="s">
        <v>200</v>
      </c>
      <c r="B384" s="228"/>
      <c r="C384" s="229"/>
      <c r="D384" s="242">
        <v>-2717</v>
      </c>
      <c r="E384" s="241"/>
      <c r="F384" s="242">
        <v>12561</v>
      </c>
      <c r="G384" s="241"/>
      <c r="H384" s="242">
        <v>13450</v>
      </c>
      <c r="I384" s="237"/>
      <c r="J384" s="242">
        <v>1512</v>
      </c>
      <c r="K384" s="241"/>
      <c r="L384" s="242">
        <f>SUM(D384:J384)</f>
        <v>24806</v>
      </c>
      <c r="N384" s="241"/>
    </row>
    <row r="385" spans="1:14" ht="12.75">
      <c r="A385" s="233" t="s">
        <v>7</v>
      </c>
      <c r="B385" s="233" t="s">
        <v>201</v>
      </c>
      <c r="C385" s="229"/>
      <c r="D385" s="239">
        <f>SUM(D379:D384)</f>
        <v>89653</v>
      </c>
      <c r="E385" s="241"/>
      <c r="F385" s="239">
        <f>SUM(F379:F384)</f>
        <v>40174</v>
      </c>
      <c r="G385" s="239"/>
      <c r="H385" s="239">
        <f>SUM(H379:H384)</f>
        <v>68422</v>
      </c>
      <c r="I385" s="237"/>
      <c r="J385" s="239">
        <f>SUM(J379:J384)</f>
        <v>29860</v>
      </c>
      <c r="K385" s="238"/>
      <c r="L385" s="239">
        <f>SUM(L379:L384)</f>
        <v>228109</v>
      </c>
      <c r="N385" s="241"/>
    </row>
    <row r="386" spans="1:16" ht="12.75">
      <c r="A386" s="228" t="s">
        <v>202</v>
      </c>
      <c r="B386" s="228"/>
      <c r="C386" s="229"/>
      <c r="D386" s="242">
        <f>25002+3046</f>
        <v>28048</v>
      </c>
      <c r="E386" s="241"/>
      <c r="F386" s="242">
        <f>3233+760</f>
        <v>3993</v>
      </c>
      <c r="G386" s="241"/>
      <c r="H386" s="242">
        <f>24380-8080</f>
        <v>16300</v>
      </c>
      <c r="I386" s="237"/>
      <c r="J386" s="242">
        <f>5155-1554</f>
        <v>3601</v>
      </c>
      <c r="K386" s="241"/>
      <c r="L386" s="242">
        <f>SUM(D386:J386)</f>
        <v>51942</v>
      </c>
      <c r="N386" s="241"/>
      <c r="P386" s="39"/>
    </row>
    <row r="387" spans="2:14" ht="12.75">
      <c r="B387" s="233" t="s">
        <v>203</v>
      </c>
      <c r="C387" s="229"/>
      <c r="D387" s="43">
        <f>+D385-D386</f>
        <v>61605</v>
      </c>
      <c r="E387" s="43"/>
      <c r="F387" s="43">
        <f>+F385-F386</f>
        <v>36181</v>
      </c>
      <c r="G387" s="43"/>
      <c r="H387" s="43">
        <f>+H385-H386</f>
        <v>52122</v>
      </c>
      <c r="I387" s="39"/>
      <c r="J387" s="43">
        <f>J385-J386</f>
        <v>26259</v>
      </c>
      <c r="K387" s="43"/>
      <c r="L387" s="43">
        <f>L385-L386</f>
        <v>176167</v>
      </c>
      <c r="N387" s="51"/>
    </row>
    <row r="388" spans="1:14" ht="12.75">
      <c r="A388" s="228" t="s">
        <v>204</v>
      </c>
      <c r="B388" s="228"/>
      <c r="C388" s="229"/>
      <c r="D388" s="242">
        <f>-10487+3046</f>
        <v>-7441</v>
      </c>
      <c r="E388" s="241"/>
      <c r="F388" s="242">
        <f>3099+1000+760</f>
        <v>4859</v>
      </c>
      <c r="G388" s="241"/>
      <c r="H388" s="242">
        <f>4123-418-8080</f>
        <v>-4375</v>
      </c>
      <c r="I388" s="237"/>
      <c r="J388" s="242">
        <f>263-1554</f>
        <v>-1291</v>
      </c>
      <c r="K388" s="241"/>
      <c r="L388" s="242">
        <f>SUM(D388:J388)</f>
        <v>-8248</v>
      </c>
      <c r="N388" s="241"/>
    </row>
    <row r="389" spans="1:14" ht="13.5" thickBot="1">
      <c r="A389" s="245"/>
      <c r="B389" s="245" t="s">
        <v>205</v>
      </c>
      <c r="C389" s="245"/>
      <c r="D389" s="247">
        <f>SUM(D387:D388)</f>
        <v>54164</v>
      </c>
      <c r="E389" s="247"/>
      <c r="F389" s="247">
        <f>SUM(F387:F388)</f>
        <v>41040</v>
      </c>
      <c r="G389" s="247"/>
      <c r="H389" s="247">
        <f>SUM(H387:H388)</f>
        <v>47747</v>
      </c>
      <c r="I389" s="246"/>
      <c r="J389" s="247">
        <f>SUM(J387:J388)</f>
        <v>24968</v>
      </c>
      <c r="K389" s="247"/>
      <c r="L389" s="247">
        <f>SUM(L387:L388)</f>
        <v>167919</v>
      </c>
      <c r="N389" s="166"/>
    </row>
    <row r="390" spans="1:14" ht="12.75">
      <c r="A390" s="164"/>
      <c r="B390" s="164"/>
      <c r="C390" s="164"/>
      <c r="D390" s="166"/>
      <c r="E390" s="166"/>
      <c r="F390" s="166"/>
      <c r="G390" s="166"/>
      <c r="H390" s="166"/>
      <c r="I390" s="167"/>
      <c r="J390" s="166"/>
      <c r="K390" s="166"/>
      <c r="L390" s="166"/>
      <c r="N390" s="166"/>
    </row>
    <row r="391" spans="1:14" ht="12.75">
      <c r="A391" s="228" t="s">
        <v>206</v>
      </c>
      <c r="B391" s="228"/>
      <c r="C391" s="229"/>
      <c r="D391" s="248">
        <v>0</v>
      </c>
      <c r="E391" s="250"/>
      <c r="F391" s="248">
        <v>-2</v>
      </c>
      <c r="G391" s="250"/>
      <c r="H391" s="248">
        <v>-1</v>
      </c>
      <c r="I391" s="234"/>
      <c r="J391" s="248">
        <v>2097</v>
      </c>
      <c r="K391" s="234"/>
      <c r="L391" s="248">
        <f>SUM(D391:J391)</f>
        <v>2094</v>
      </c>
      <c r="N391" s="250"/>
    </row>
    <row r="392" spans="1:14" ht="13.5" thickBot="1">
      <c r="A392" s="245"/>
      <c r="B392" s="245" t="s">
        <v>133</v>
      </c>
      <c r="C392" s="245"/>
      <c r="D392" s="247">
        <f>+D389-D391</f>
        <v>54164</v>
      </c>
      <c r="E392" s="247"/>
      <c r="F392" s="247">
        <f>+F389-F391</f>
        <v>41042</v>
      </c>
      <c r="G392" s="247"/>
      <c r="H392" s="247">
        <f>+H389-H391</f>
        <v>47748</v>
      </c>
      <c r="I392" s="246"/>
      <c r="J392" s="247">
        <f>+J389-J391</f>
        <v>22871</v>
      </c>
      <c r="K392" s="247"/>
      <c r="L392" s="247">
        <f>+L389-L391</f>
        <v>165825</v>
      </c>
      <c r="N392" s="166"/>
    </row>
    <row r="393" spans="1:18" ht="12.75">
      <c r="A393" s="252"/>
      <c r="R393" s="32"/>
    </row>
    <row r="394" ht="12.75">
      <c r="R394" s="32"/>
    </row>
  </sheetData>
  <sheetProtection/>
  <mergeCells count="89">
    <mergeCell ref="H300:J300"/>
    <mergeCell ref="Q211:R211"/>
    <mergeCell ref="Q209:R209"/>
    <mergeCell ref="D211:L211"/>
    <mergeCell ref="D222:L222"/>
    <mergeCell ref="D209:F209"/>
    <mergeCell ref="Q159:R159"/>
    <mergeCell ref="Q135:R135"/>
    <mergeCell ref="Q208:R208"/>
    <mergeCell ref="D172:F172"/>
    <mergeCell ref="Q147:R147"/>
    <mergeCell ref="Q158:R158"/>
    <mergeCell ref="Q144:R144"/>
    <mergeCell ref="Q145:R145"/>
    <mergeCell ref="Q161:R161"/>
    <mergeCell ref="D144:F144"/>
    <mergeCell ref="D135:L135"/>
    <mergeCell ref="D147:L147"/>
    <mergeCell ref="H158:J158"/>
    <mergeCell ref="H159:J159"/>
    <mergeCell ref="D174:H174"/>
    <mergeCell ref="H190:J190"/>
    <mergeCell ref="A1:Q1"/>
    <mergeCell ref="A2:Q2"/>
    <mergeCell ref="D101:F101"/>
    <mergeCell ref="D121:F121"/>
    <mergeCell ref="D120:F120"/>
    <mergeCell ref="D100:F100"/>
    <mergeCell ref="D41:F41"/>
    <mergeCell ref="D42:F42"/>
    <mergeCell ref="D57:F57"/>
    <mergeCell ref="D58:F58"/>
    <mergeCell ref="D44:L44"/>
    <mergeCell ref="D60:L60"/>
    <mergeCell ref="D92:L92"/>
    <mergeCell ref="D89:F89"/>
    <mergeCell ref="D90:F90"/>
    <mergeCell ref="D103:L103"/>
    <mergeCell ref="H41:J41"/>
    <mergeCell ref="H42:J42"/>
    <mergeCell ref="H57:J57"/>
    <mergeCell ref="H58:J58"/>
    <mergeCell ref="D342:F342"/>
    <mergeCell ref="D329:F329"/>
    <mergeCell ref="D301:F301"/>
    <mergeCell ref="D300:F300"/>
    <mergeCell ref="D158:F158"/>
    <mergeCell ref="D145:F145"/>
    <mergeCell ref="D286:F286"/>
    <mergeCell ref="D208:F208"/>
    <mergeCell ref="D191:F191"/>
    <mergeCell ref="D219:F219"/>
    <mergeCell ref="D288:F288"/>
    <mergeCell ref="D190:F190"/>
    <mergeCell ref="H89:J89"/>
    <mergeCell ref="H90:J90"/>
    <mergeCell ref="H100:J100"/>
    <mergeCell ref="H101:J101"/>
    <mergeCell ref="H120:J120"/>
    <mergeCell ref="H121:J121"/>
    <mergeCell ref="H132:J132"/>
    <mergeCell ref="H133:J133"/>
    <mergeCell ref="H144:J144"/>
    <mergeCell ref="H145:J145"/>
    <mergeCell ref="D123:L123"/>
    <mergeCell ref="D132:F132"/>
    <mergeCell ref="D133:F133"/>
    <mergeCell ref="D159:F159"/>
    <mergeCell ref="H208:J208"/>
    <mergeCell ref="H209:J209"/>
    <mergeCell ref="H219:J219"/>
    <mergeCell ref="H220:J220"/>
    <mergeCell ref="D161:L161"/>
    <mergeCell ref="D193:L193"/>
    <mergeCell ref="D220:F220"/>
    <mergeCell ref="H191:J191"/>
    <mergeCell ref="D356:H356"/>
    <mergeCell ref="D370:L370"/>
    <mergeCell ref="H301:J301"/>
    <mergeCell ref="H328:J328"/>
    <mergeCell ref="H329:J329"/>
    <mergeCell ref="H342:J342"/>
    <mergeCell ref="H343:J343"/>
    <mergeCell ref="D343:F343"/>
    <mergeCell ref="D354:F354"/>
    <mergeCell ref="D331:L331"/>
    <mergeCell ref="D345:L345"/>
    <mergeCell ref="D328:F328"/>
    <mergeCell ref="D303:L303"/>
  </mergeCells>
  <printOptions horizontalCentered="1"/>
  <pageMargins left="0.47244094488189" right="0.236220472440945" top="0.511811023622047" bottom="0.36" header="0.31496062992126" footer="0.22"/>
  <pageSetup fitToHeight="4" horizontalDpi="600" verticalDpi="600" orientation="portrait" paperSize="9" scale="59" r:id="rId1"/>
  <headerFooter alignWithMargins="0">
    <oddFooter>&amp;RPage &amp;P</oddFooter>
  </headerFooter>
  <rowBreaks count="4" manualBreakCount="4">
    <brk id="86" max="16" man="1"/>
    <brk id="169" max="16" man="1"/>
    <brk id="233" max="16" man="1"/>
    <brk id="32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Q3_2010_Notes</dc:title>
  <dc:subject/>
  <dc:creator>Christin Steen-Nilsen</dc:creator>
  <cp:keywords/>
  <dc:description/>
  <cp:lastModifiedBy>anders.otnes</cp:lastModifiedBy>
  <cp:lastPrinted>2010-10-19T07:36:08Z</cp:lastPrinted>
  <dcterms:created xsi:type="dcterms:W3CDTF">2003-02-12T19:44:27Z</dcterms:created>
  <dcterms:modified xsi:type="dcterms:W3CDTF">2010-10-29T05:22:06Z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ne">
    <vt:lpwstr>1</vt:lpwstr>
  </property>
  <property fmtid="{D5CDD505-2E9C-101B-9397-08002B2CF9AE}" pid="3" name="ContentType">
    <vt:lpwstr>Document</vt:lpwstr>
  </property>
  <property fmtid="{D5CDD505-2E9C-101B-9397-08002B2CF9AE}" pid="4" name="Copy document to Quarterly Reporting Q4 2009">
    <vt:lpwstr>1</vt:lpwstr>
  </property>
  <property fmtid="{D5CDD505-2E9C-101B-9397-08002B2CF9AE}" pid="5" name="ContentTypeId">
    <vt:lpwstr>0x010100DEF8434ED64D094889F704EB3540841D</vt:lpwstr>
  </property>
  <property fmtid="{D5CDD505-2E9C-101B-9397-08002B2CF9AE}" pid="6" name="Approved by">
    <vt:lpwstr>453;#Hilde Fauske</vt:lpwstr>
  </property>
  <property fmtid="{D5CDD505-2E9C-101B-9397-08002B2CF9AE}" pid="7" name="Approval date">
    <vt:lpwstr/>
  </property>
  <property fmtid="{D5CDD505-2E9C-101B-9397-08002B2CF9AE}" pid="8" name="Status">
    <vt:lpwstr>Completed September 2010</vt:lpwstr>
  </property>
  <property fmtid="{D5CDD505-2E9C-101B-9397-08002B2CF9AE}" pid="9" name="Comments">
    <vt:lpwstr/>
  </property>
  <property fmtid="{D5CDD505-2E9C-101B-9397-08002B2CF9AE}" pid="10" name="Send a copy to Q1 2010">
    <vt:lpwstr>false</vt:lpwstr>
  </property>
  <property fmtid="{D5CDD505-2E9C-101B-9397-08002B2CF9AE}" pid="11" name="Send a copy to Q2 2010">
    <vt:lpwstr>false</vt:lpwstr>
  </property>
</Properties>
</file>